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145" windowWidth="9570" windowHeight="2220" tabRatio="587" firstSheet="1" activeTab="5"/>
  </bookViews>
  <sheets>
    <sheet name="1.számú melléklet" sheetId="1" r:id="rId1"/>
    <sheet name="1a.számú melléklet " sheetId="2" r:id="rId2"/>
    <sheet name="2.számú melléklet" sheetId="3" r:id="rId3"/>
    <sheet name="2.a.számú melléklet" sheetId="4" r:id="rId4"/>
    <sheet name="2b.számú melléklet" sheetId="5" r:id="rId5"/>
    <sheet name="2c.számú melléklet" sheetId="6" r:id="rId6"/>
    <sheet name="3.számú melléklet" sheetId="7" r:id="rId7"/>
    <sheet name="3a.számú melléklet " sheetId="8" r:id="rId8"/>
    <sheet name="3b.számú melléklet" sheetId="9" r:id="rId9"/>
    <sheet name="3c.számú melléklet" sheetId="10" r:id="rId10"/>
    <sheet name="4.számú melléklet" sheetId="11" r:id="rId11"/>
    <sheet name="4a.számú melléklet" sheetId="12" r:id="rId12"/>
    <sheet name="4b.mellékletBolgár" sheetId="13" r:id="rId13"/>
    <sheet name="4b.mellékletCigány" sheetId="14" r:id="rId14"/>
    <sheet name="4b.mellékletGörög" sheetId="15" r:id="rId15"/>
    <sheet name="4b.mellékletNémet" sheetId="16" r:id="rId16"/>
    <sheet name="4b.mellékletÖrmény" sheetId="17" r:id="rId17"/>
    <sheet name="4b.mellékletRomán" sheetId="18" r:id="rId18"/>
    <sheet name="4b.mellékletRuszin" sheetId="19" r:id="rId19"/>
    <sheet name="6a.melléklet (1)" sheetId="20" r:id="rId20"/>
    <sheet name="6a.melléklet (2)" sheetId="21" r:id="rId21"/>
    <sheet name="6a.melléklet (3)" sheetId="22" r:id="rId22"/>
    <sheet name="6a.melléklet (4)" sheetId="23" r:id="rId23"/>
    <sheet name="6a.melléklet (5)" sheetId="24" r:id="rId24"/>
    <sheet name="6a.melléklet (6)" sheetId="25" r:id="rId25"/>
    <sheet name="6a.melléklet (7)" sheetId="26" r:id="rId26"/>
    <sheet name="6a.melléklet (8)" sheetId="27" r:id="rId27"/>
    <sheet name="6a.melléklet (9)" sheetId="28" r:id="rId28"/>
    <sheet name="6a.melléklet (10)" sheetId="29" r:id="rId29"/>
    <sheet name="6b.számú melléklet(1)" sheetId="30" r:id="rId30"/>
  </sheets>
  <definedNames>
    <definedName name="_xlnm.Print_Titles" localSheetId="0">'1.számú melléklet'!$5:$7</definedName>
    <definedName name="_xlnm.Print_Titles" localSheetId="1">'1a.számú melléklet '!$7:$9</definedName>
    <definedName name="_xlnm.Print_Titles" localSheetId="3">'2.a.számú melléklet'!$5:$7</definedName>
    <definedName name="_xlnm.Print_Titles" localSheetId="2">'2.számú melléklet'!$3:$5</definedName>
    <definedName name="_xlnm.Print_Titles" localSheetId="4">'2b.számú melléklet'!$3:$5</definedName>
    <definedName name="_xlnm.Print_Titles" localSheetId="5">'2c.számú melléklet'!$5:$7</definedName>
    <definedName name="_xlnm.Print_Titles" localSheetId="10">'4.számú melléklet'!$6:$8</definedName>
    <definedName name="_xlnm.Print_Titles" localSheetId="11">'4a.számú melléklet'!$4:$6</definedName>
    <definedName name="_xlnm.Print_Titles" localSheetId="28">'6a.melléklet (10)'!$A:$A,'6a.melléklet (10)'!$1:$10</definedName>
  </definedNames>
  <calcPr fullCalcOnLoad="1"/>
</workbook>
</file>

<file path=xl/sharedStrings.xml><?xml version="1.0" encoding="utf-8"?>
<sst xmlns="http://schemas.openxmlformats.org/spreadsheetml/2006/main" count="2745" uniqueCount="718">
  <si>
    <t>Adósságcsökkentési támogatás</t>
  </si>
  <si>
    <t xml:space="preserve">Nagy Imre Általános Művelődési Központ </t>
  </si>
  <si>
    <t>d./</t>
  </si>
  <si>
    <t>- Általános tartalék  + polgármesteri keret</t>
  </si>
  <si>
    <t xml:space="preserve">Költségvetési kiadások összesen </t>
  </si>
  <si>
    <t>- Állami (önkormányzati) nem pénzügyi vállalkozásnak</t>
  </si>
  <si>
    <t>Általános tartalék + polgármesteri keret</t>
  </si>
  <si>
    <t>Csepeli Munkásotthon Alapítvány</t>
  </si>
  <si>
    <t>Vöröskereszt</t>
  </si>
  <si>
    <t>Egyházak</t>
  </si>
  <si>
    <t>Fővárosi Önkormányzat</t>
  </si>
  <si>
    <t>Elidegenítési bevétel 50 %-a</t>
  </si>
  <si>
    <t>Belügyminisztérium</t>
  </si>
  <si>
    <t>Első lakáshoz jutók támogatása</t>
  </si>
  <si>
    <t>Ferencvárosi Önkormányzat</t>
  </si>
  <si>
    <t>Szabálysértési feladatok támogatása</t>
  </si>
  <si>
    <t>Működés támogatása</t>
  </si>
  <si>
    <t>Szociális és Munkaügyi Minisztérium</t>
  </si>
  <si>
    <t>Kiemelkedő eredményt elért sportolók és sportvezetők jutalmazása</t>
  </si>
  <si>
    <t>Felnőtt és gyermek háziorvosi praxisok eszköztámogatása (pályázati rendszerben)</t>
  </si>
  <si>
    <t>2009. évi központi kereset-kiegészítés</t>
  </si>
  <si>
    <t>Eszközbeszerzés támogatása</t>
  </si>
  <si>
    <t xml:space="preserve">Kiemelt sportegyesületek </t>
  </si>
  <si>
    <t>Egyéb sportintézmények</t>
  </si>
  <si>
    <t xml:space="preserve">XXI. Kerületi Tűzoltóság </t>
  </si>
  <si>
    <t>Sport támogatása</t>
  </si>
  <si>
    <t>Oktatási Szolgáltató Intézmény felújítási munkáinak működés támogatása</t>
  </si>
  <si>
    <t>Csepel Vállalkozás-fejlesztési Közalapítvány</t>
  </si>
  <si>
    <t>Parkfenntartás és egyéb közterület kezelési feladatokhoz kapcsolódó működés kiadásaira</t>
  </si>
  <si>
    <t>Eseti pénzbeli gyermekvédelmi ellátások  összesen</t>
  </si>
  <si>
    <t>Intézmények működési bevétele</t>
  </si>
  <si>
    <t>Duna u. 2-4. nyugdíjasház 24. órás nővérszolgálat</t>
  </si>
  <si>
    <t xml:space="preserve">Civil szervezetek pályázataira </t>
  </si>
  <si>
    <t>Lakásépítési céltartalék</t>
  </si>
  <si>
    <t xml:space="preserve">Diáksporttal kapcsolatos feladatok támogatása </t>
  </si>
  <si>
    <t>- Pedagógus szakvizsga és továbbképzés</t>
  </si>
  <si>
    <t>Állami támogatásból tanulók ingyenes tankönyvellátása</t>
  </si>
  <si>
    <t xml:space="preserve">Sportkoncepció alapján Nyitott Iskola </t>
  </si>
  <si>
    <t xml:space="preserve"> Felmentési időre jutó illetmény és végkielégítés</t>
  </si>
  <si>
    <t xml:space="preserve">Eseti pénzbeli gyermekvédelmi ellátások </t>
  </si>
  <si>
    <t>- Szociális továbbképzés és szakvizsga (bölcsőde)</t>
  </si>
  <si>
    <t>Önkormányzati lakótelek értékesítés</t>
  </si>
  <si>
    <t>Csepeli Polgárőrség</t>
  </si>
  <si>
    <t>Önkormányzati egyéb helyiségek bérbevétele</t>
  </si>
  <si>
    <t>Működés célú pénzeszközátvétel államháztartáson kívülről</t>
  </si>
  <si>
    <t>Felhalmozás célú pénzeszközátvétel államháztartáson kívülről</t>
  </si>
  <si>
    <t>Működés célú támogatási kölcsön</t>
  </si>
  <si>
    <t>Támogatási kölcsön összesen</t>
  </si>
  <si>
    <t>Nem szociális bérlakások elkülönített számláinak tartaléka</t>
  </si>
  <si>
    <t>Előző évi  pénzmaradvány  igénybevétele</t>
  </si>
  <si>
    <t>- Otthonmegőrzési támogatás</t>
  </si>
  <si>
    <t>- Műk.célú pe. átadás államháztartáson kívülre</t>
  </si>
  <si>
    <t>- Felhalm.célú pénzeszk.átadás non-profit szervezeteknek</t>
  </si>
  <si>
    <t>- Műk.célú pénzeszk.átadás államháztartáson kívülre</t>
  </si>
  <si>
    <t xml:space="preserve">Oktatás intézményei konyháinak minőségbiztosítási előírásaira </t>
  </si>
  <si>
    <t>- Normatív lakásfenntartás támogatása</t>
  </si>
  <si>
    <t>- Normatív ápolási díj</t>
  </si>
  <si>
    <t>Felhalmozás célú támogatási kölcsön folyósítása</t>
  </si>
  <si>
    <t>Közművelődési feladatok támogatása</t>
  </si>
  <si>
    <t>- Felhalmozás célú pénzeszköz átadások államháztartáson kívülre</t>
  </si>
  <si>
    <t>Működés célú támogatásértékű kiadások</t>
  </si>
  <si>
    <t>Óvodai fektető ágyak elhelyezésére szolgáló szekrények átalakítása</t>
  </si>
  <si>
    <t>Működés célú támogatásértékű bevételek, előző évi támogatások, visszatérülések</t>
  </si>
  <si>
    <t>Felhalmozás célú támogatásértékű bevételek</t>
  </si>
  <si>
    <t>Működés célú támogatásértékű kiadások, pénzeszköz átadások</t>
  </si>
  <si>
    <t>Felhalmozás célú támogatásértékű kiadások, pénzeszköz átadások</t>
  </si>
  <si>
    <t>- ebből: normatív állami támogatás</t>
  </si>
  <si>
    <t>- Munkaadói járulék</t>
  </si>
  <si>
    <t>- Egészségügyi hozzájárulás</t>
  </si>
  <si>
    <t>Intézményi felújítás</t>
  </si>
  <si>
    <t>Útfelújítás</t>
  </si>
  <si>
    <t>Zöldfelület és berendezései felújítása</t>
  </si>
  <si>
    <t>Egyéb felhalmozási kiadás</t>
  </si>
  <si>
    <t>Kerületi beruházások</t>
  </si>
  <si>
    <t>Bevételek összesen</t>
  </si>
  <si>
    <t>Csepeli Szociális Szolgálat</t>
  </si>
  <si>
    <t>- Szociálpolitikai és egyéb pénzbeli juttatások</t>
  </si>
  <si>
    <t>Csepeli Gyermekekért Alapítvány</t>
  </si>
  <si>
    <t>- 2009. évi bérpolitikai intézkedések támogatása</t>
  </si>
  <si>
    <t>Kamatbevételek</t>
  </si>
  <si>
    <t>I.</t>
  </si>
  <si>
    <t>Iparűzési adó</t>
  </si>
  <si>
    <t>A.</t>
  </si>
  <si>
    <t>Felhalmozási kiadások összesen:</t>
  </si>
  <si>
    <t>Kiadások mindösszesen:</t>
  </si>
  <si>
    <t>Bevételek ezer Ft-ban</t>
  </si>
  <si>
    <t>Pénzügyi befektetések kiadásai</t>
  </si>
  <si>
    <t>Lakásfenntartás támogatása</t>
  </si>
  <si>
    <t>Rendkívüli gyermekvédelmi támogatás</t>
  </si>
  <si>
    <t>- Köztemetés</t>
  </si>
  <si>
    <t xml:space="preserve">Rövid lejáratú működési hitel </t>
  </si>
  <si>
    <t>Támogatás célja</t>
  </si>
  <si>
    <t xml:space="preserve"> önállóan gazdálkodó intézmény</t>
  </si>
  <si>
    <t>- Kerületi beruházások</t>
  </si>
  <si>
    <t>- Pénzügyi befektetések kiadásai</t>
  </si>
  <si>
    <t>Rendkívüli közfeladatok kiadásainak céltartaléka</t>
  </si>
  <si>
    <t>Csevak Zrt. Igazgatóság költségeire</t>
  </si>
  <si>
    <t xml:space="preserve">2009. évi központi és helyi intézkedések céltartaléka </t>
  </si>
  <si>
    <t>Bursa Hungarica felsőoktatási ösztöndíjrendszer</t>
  </si>
  <si>
    <t>Felhalmozási kiadások és pénzügyi befektetések összesen (7+…+11)</t>
  </si>
  <si>
    <t>Tartalék összesen (12+13+14)</t>
  </si>
  <si>
    <t>5. Ellátottak pénzbeli juttatásai</t>
  </si>
  <si>
    <t xml:space="preserve">Bevételek összesen </t>
  </si>
  <si>
    <t>24.</t>
  </si>
  <si>
    <t>25.</t>
  </si>
  <si>
    <t>IV.</t>
  </si>
  <si>
    <t>26.</t>
  </si>
  <si>
    <t>Idegenforgalmi adó</t>
  </si>
  <si>
    <t>27.</t>
  </si>
  <si>
    <t>Kötött felhasználással támogatott közoktatási és szociális feladatok ellátására</t>
  </si>
  <si>
    <t>Mélyépítőipar</t>
  </si>
  <si>
    <t>Kamatbevétel</t>
  </si>
  <si>
    <t>IX.</t>
  </si>
  <si>
    <t>X.</t>
  </si>
  <si>
    <t xml:space="preserve">Központosított előirányzatok </t>
  </si>
  <si>
    <t>Működési hitel (hiány)</t>
  </si>
  <si>
    <t>Szolgálati lakások értékesítésének elszámolása</t>
  </si>
  <si>
    <t>Országos Egészségbiztosítási Pénztár</t>
  </si>
  <si>
    <t>Idegenforgalmi adó, üdülőhelyi díj</t>
  </si>
  <si>
    <t>Működés célú pénzeszköz átvétel államháztartáson kívülről</t>
  </si>
  <si>
    <t>Helyi TV és Csepel Újság kiadásaira</t>
  </si>
  <si>
    <t>Beruházási Iroda működési kiadásaira</t>
  </si>
  <si>
    <t>Városüzemeltetési feladatok működési kiadásaira</t>
  </si>
  <si>
    <t>Lakbértámogatás</t>
  </si>
  <si>
    <t>- Lakbértámogatás</t>
  </si>
  <si>
    <t>Működési kiadások összesen (1+…+6)</t>
  </si>
  <si>
    <t xml:space="preserve">              normatív kötött támogatás (ped.szaksz.)</t>
  </si>
  <si>
    <t>Szociálpolitikai és egyéb pénzbeli juttatások</t>
  </si>
  <si>
    <t>Kiadások összesen</t>
  </si>
  <si>
    <t>Normatív módon elosztott kötött felhasználású központi támogatások</t>
  </si>
  <si>
    <t>- Személyi juttatás</t>
  </si>
  <si>
    <t>- Munkaadókat terhelő járulékok</t>
  </si>
  <si>
    <t>- Dologi kiadás</t>
  </si>
  <si>
    <t>- Intézményi felújítás</t>
  </si>
  <si>
    <t>- Egyéb felhalmozási kiadás</t>
  </si>
  <si>
    <t>Intézmények összesen</t>
  </si>
  <si>
    <t>- Egyéb munkaadói járulék</t>
  </si>
  <si>
    <t>Függő, átfutó, kiegyenlítő bevételek</t>
  </si>
  <si>
    <t>Felhalmozási kiadások és pénzügyi befektetések összesen (8+…+13)</t>
  </si>
  <si>
    <t>Sportkoncepció alapján sportiskolai rendszer beindítása</t>
  </si>
  <si>
    <t xml:space="preserve">Szociális és Egészségügyi Ágazat polgármesteri hatáskörű jutalmak </t>
  </si>
  <si>
    <t>ÁFA bevétel, visszatérülés</t>
  </si>
  <si>
    <t>Egyéb szociális és gyermekjóléti szolgáltatás</t>
  </si>
  <si>
    <t>Önkormányzati támogatás</t>
  </si>
  <si>
    <t>Központi költségvetési támogatás</t>
  </si>
  <si>
    <t>Helyi Kisebbségi Önkormányzatok</t>
  </si>
  <si>
    <t>Átengedett központi adók</t>
  </si>
  <si>
    <t>- Felhalmozás célú pénzeszközátadások államháztartáson kívülre</t>
  </si>
  <si>
    <t>- Ellátottak pénzbeli juttatása</t>
  </si>
  <si>
    <t>Működési kiadások összesen (1+…+7)</t>
  </si>
  <si>
    <t>- Egyéb vállalkozásnak</t>
  </si>
  <si>
    <t>Normatív lakásfenntartási támogatás</t>
  </si>
  <si>
    <t>Polgármesteri hatáskörű tartalékkeret</t>
  </si>
  <si>
    <t>c./</t>
  </si>
  <si>
    <t>Csepeli Mozgássérültek Önálló Egyesülete</t>
  </si>
  <si>
    <t>Felhalmozás célú központi költségvetési támogatás</t>
  </si>
  <si>
    <t>Egyéb sajátos bevételek</t>
  </si>
  <si>
    <t>Átengedett SZJA</t>
  </si>
  <si>
    <t>Céljellegű decentralizált támogatás</t>
  </si>
  <si>
    <t xml:space="preserve"> Felmentési időre jutó illetmény </t>
  </si>
  <si>
    <t>- Rendelkezésre állási támogatás</t>
  </si>
  <si>
    <t xml:space="preserve">II. </t>
  </si>
  <si>
    <t>Önkormányzati általános tartalék</t>
  </si>
  <si>
    <t>Saját vagy bérelt ingatlan hasznosítása</t>
  </si>
  <si>
    <t>Önkormányzati igazgatási tevékenység</t>
  </si>
  <si>
    <t>Polgármesteri Hivatal összesen</t>
  </si>
  <si>
    <t>Kiadások</t>
  </si>
  <si>
    <t>Személyi juttatás</t>
  </si>
  <si>
    <t>Munkaadókat terhelő járulékok</t>
  </si>
  <si>
    <t>Dologi kiadás</t>
  </si>
  <si>
    <t>Oktatási Szolgáltató Intézmény</t>
  </si>
  <si>
    <t>Helyi közutak, hidak létesítése, felújítása</t>
  </si>
  <si>
    <t>- Zöldfelület, park és berendezései felújítása</t>
  </si>
  <si>
    <t>- Útfelújítás</t>
  </si>
  <si>
    <t>- Kerületi beruházás</t>
  </si>
  <si>
    <t>- Ápolási díj</t>
  </si>
  <si>
    <t>- Lakásfenntartási támogatás</t>
  </si>
  <si>
    <t>- Átmeneti szociális segély</t>
  </si>
  <si>
    <t xml:space="preserve">Helyi Kisebbségi Önkormányzatok </t>
  </si>
  <si>
    <t>Születési támogatás</t>
  </si>
  <si>
    <t>Szociálpolitikai és egyéb pénzbeli  juttatások</t>
  </si>
  <si>
    <t>Továbbszámlázott szolgáltatások bevétele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</si>
  <si>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</si>
  <si>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</si>
  <si>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</si>
  <si>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</si>
  <si>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</si>
  <si>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</si>
  <si>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</si>
  <si>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</si>
  <si>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</si>
  <si>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</si>
  <si>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Költségvetési létszámkeret</t>
  </si>
  <si>
    <t>- Szociális továbbképzés és szakvizsga</t>
  </si>
  <si>
    <t>Átmeneti szociális segély</t>
  </si>
  <si>
    <t>Felhalmozás célú pénzeszköz átadás államháztartáson kívülre</t>
  </si>
  <si>
    <t>Önkormányzati képviselő választások</t>
  </si>
  <si>
    <t>Különféle bírságok, pótlékok és egyéb sajátos bevételek</t>
  </si>
  <si>
    <t>Normatív támogatások</t>
  </si>
  <si>
    <t xml:space="preserve">Előző évi  pénzmaradvány  igénybevétele </t>
  </si>
  <si>
    <t>Önkormányzatok elszámolásai</t>
  </si>
  <si>
    <t>- Felhalm. célú pe.átadás non-profit szervezeteknek</t>
  </si>
  <si>
    <t>- Felhalm. célú pe.átad.önkorm.nem pü.vállalk-nak</t>
  </si>
  <si>
    <t>Támogató szervezet megnevezés</t>
  </si>
  <si>
    <t>Nagy Imre Általános Művelődési Központ</t>
  </si>
  <si>
    <t>Felügyeleti szervtől kapott támogatás   (intézmény finanszírozás)</t>
  </si>
  <si>
    <t>Fejlesztési hitel - célhitel</t>
  </si>
  <si>
    <t>Csepeli Egészségügyi Szolgálat</t>
  </si>
  <si>
    <t>1.</t>
  </si>
  <si>
    <t>2.</t>
  </si>
  <si>
    <t>3.</t>
  </si>
  <si>
    <t>- Felhalm.célú pénzeszk.átadás államháztartáson kívülre</t>
  </si>
  <si>
    <t>- Állami (önkorm.) nem pénzügyi vállalk.-nak</t>
  </si>
  <si>
    <t>Országgyűlési képviselő választások</t>
  </si>
  <si>
    <t xml:space="preserve">Önkormányzati lakások lakbérbevétele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</si>
  <si>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Sor- szám</t>
  </si>
  <si>
    <t>Közutak és hidak üzemeltetése, fenntartása</t>
  </si>
  <si>
    <t>Város- és községgazdálkodási szolgáltatás</t>
  </si>
  <si>
    <t>- Felhalmozás célú pénzeszköz átadás államházt.kívülre</t>
  </si>
  <si>
    <t>- Temetési segély</t>
  </si>
  <si>
    <t>Fővárosi Közterületfelügyelet</t>
  </si>
  <si>
    <t>Közterületfelügyelet feladatainak támogatása</t>
  </si>
  <si>
    <t>Csepel SC. Alapítvány</t>
  </si>
  <si>
    <t>Fiatal házasok</t>
  </si>
  <si>
    <t>- Adósságcsökkentési támogatás</t>
  </si>
  <si>
    <t>Nem szociális bérlakás lakbérbevétele</t>
  </si>
  <si>
    <t>Ápolási díj</t>
  </si>
  <si>
    <t>- Műk.célú pe.átad.állami (önk.) nem pü.vállalk.-nak</t>
  </si>
  <si>
    <t>Bevételek</t>
  </si>
  <si>
    <t>Építményadó</t>
  </si>
  <si>
    <t xml:space="preserve">Csepeliek Művelődéséért Alapítvány </t>
  </si>
  <si>
    <t xml:space="preserve">              normatív kötött támogatás           </t>
  </si>
  <si>
    <t xml:space="preserve">              normatív kötött támogatás </t>
  </si>
  <si>
    <t xml:space="preserve">- Állami (önkorm.) nem pénzügyi  vállalkozásnak </t>
  </si>
  <si>
    <t>Hatósági jogkörhöz köthető működési bevételek</t>
  </si>
  <si>
    <t>- Működés célú támogatásértékű kiadások</t>
  </si>
  <si>
    <t>- Működés célú pénzeszköz átadások államháztartáson kívülre</t>
  </si>
  <si>
    <t>- Felhalmozás célú támogatásértékű kiadások</t>
  </si>
  <si>
    <t>Támogató szolgáltatás</t>
  </si>
  <si>
    <t>- Időskorúak járadéka</t>
  </si>
  <si>
    <t>- Szociálpolitikai és egyéb pénzbeli juttatás</t>
  </si>
  <si>
    <t>- Mozgáskorlátozottak üzemanyag támogatása</t>
  </si>
  <si>
    <t>- Felhalmozási kiadás</t>
  </si>
  <si>
    <t>- Non-profit szervezeteknek</t>
  </si>
  <si>
    <t>- Egyéb vállalkozásoknak</t>
  </si>
  <si>
    <t>- Fejezeten (önkormányzaton) belül</t>
  </si>
  <si>
    <t>- Pénzeszközátadás háztartásoknak</t>
  </si>
  <si>
    <t>- Központi költségvetési szervnek</t>
  </si>
  <si>
    <t xml:space="preserve">- Állami (önkormányzati) nem pénzügyi  vállalkozásnak </t>
  </si>
  <si>
    <t>- Zöldfelület és berendezései felújítása</t>
  </si>
  <si>
    <t xml:space="preserve">Szoc.pol.és egyéb pénzbeli juttatás </t>
  </si>
  <si>
    <t>Felújítás</t>
  </si>
  <si>
    <t>Hosszúlejáratú hitelek visszafizetése, törlesztése</t>
  </si>
  <si>
    <t>Rövidlejáratú hitelek visszafizetése, törlesztése</t>
  </si>
  <si>
    <t xml:space="preserve">Önkormányzati pályázati önrész </t>
  </si>
  <si>
    <t>- Hosszúlejáratú devizahitelek visszafiz. törlesztése</t>
  </si>
  <si>
    <t>Fejlesztési hitel - devizahitel</t>
  </si>
  <si>
    <t>Hosszúlejáratú devizahitelek visszafizetése, törlesztése</t>
  </si>
  <si>
    <t>Áthúzódó kötelezettségek előző évről</t>
  </si>
  <si>
    <t>Magasépítőipari tevékenység (tervezések)</t>
  </si>
  <si>
    <t>- Rendkívüli gyermekvédelmi támogatás</t>
  </si>
  <si>
    <t>33.</t>
  </si>
  <si>
    <t>Céltartalékok</t>
  </si>
  <si>
    <t>VIII.</t>
  </si>
  <si>
    <t>Különféle bírságok</t>
  </si>
  <si>
    <t>Helyi adók összesen</t>
  </si>
  <si>
    <t>önállóan gazdálkodók és kiemelt tételek szerint</t>
  </si>
  <si>
    <t>c</t>
  </si>
  <si>
    <t>1997. évi eredeti ei</t>
  </si>
  <si>
    <t>Polgármesteri Hivatal</t>
  </si>
  <si>
    <t>a./</t>
  </si>
  <si>
    <t>b./</t>
  </si>
  <si>
    <t>Intézményi bevételek összesen</t>
  </si>
  <si>
    <t>32.</t>
  </si>
  <si>
    <t>- Működés célú pénzeszköz átadás államháztart. kívülre</t>
  </si>
  <si>
    <t>- Kiegészítő gyermekvédelmi támogatás</t>
  </si>
  <si>
    <t>- Rendszeres gyermekvédelmi kedvezmény</t>
  </si>
  <si>
    <t>Budapest XXI. Kerület Csepel Önkormányzata</t>
  </si>
  <si>
    <t>Rendszeres gyermekvédelmi kedvezmény</t>
  </si>
  <si>
    <t>Kiegészítő gyermekvédelmi támogatás</t>
  </si>
  <si>
    <t>- Működés célú pénzeszközátadások államháztartáson kívülre</t>
  </si>
  <si>
    <t>4. Működés célú támogatásértékű kiadások, pénzeszköz átadások</t>
  </si>
  <si>
    <t>1. Hatósági jogkörhöz köthető működési bevételek</t>
  </si>
  <si>
    <t>4. Kamatbevétel</t>
  </si>
  <si>
    <t>5. ÁFA bevétel, visszatérülés</t>
  </si>
  <si>
    <t>Budapest  XXI. Kerület Csepel Önkormányzata</t>
  </si>
  <si>
    <t>Budapest  XXI. Kerület Csepel Önkormányzata Csepeli Egészségügyi Szolgálat részben önállóan gazdálkodó intézményei</t>
  </si>
  <si>
    <t>MFB fejlesztési hitel</t>
  </si>
  <si>
    <t>ebből: előző évi pénzmaradvány</t>
  </si>
  <si>
    <t>2. Intézményi működéshez kapcsolódó egyéb bevételek</t>
  </si>
  <si>
    <t>3. Továbbszámlázott szolg. bevétele</t>
  </si>
  <si>
    <t>XI.</t>
  </si>
  <si>
    <t>Működési célú támogatásértékű kiadások, pénzeszköz átadások</t>
  </si>
  <si>
    <t>Költségvetési szervnek nyújtott támogatás (intézmény finanszírozás) miatti korrekció</t>
  </si>
  <si>
    <t xml:space="preserve">Tartalék </t>
  </si>
  <si>
    <t>Helyi adók összesen (6-7-ig)</t>
  </si>
  <si>
    <t>Holocaust évforduló kiadásaira</t>
  </si>
  <si>
    <t>2009.évi eredeti előirányzat</t>
  </si>
  <si>
    <t>Rendelkezésre állási támogatás</t>
  </si>
  <si>
    <t>Óvodáztatási támogatás</t>
  </si>
  <si>
    <t>Támogatott szervezet megnevezés</t>
  </si>
  <si>
    <t>- Adósságcsökkentési tám.rész. lakásfenntartási támogatás</t>
  </si>
  <si>
    <t>- Bursa Hungarica felsőoktatási ösztöndíjrendszer</t>
  </si>
  <si>
    <t>Felhalmozás és tőke jellegű bevétel</t>
  </si>
  <si>
    <t>Előző évi pénzmaradvány</t>
  </si>
  <si>
    <t>Felhalmozási bevételek összesen (13-16-ig)</t>
  </si>
  <si>
    <t>Bérleti jogviszony megváltás</t>
  </si>
  <si>
    <t>- Táppénzhozzájárulás</t>
  </si>
  <si>
    <t>- Társadalombiztosítási járulék</t>
  </si>
  <si>
    <t>Működési kiadások összesen</t>
  </si>
  <si>
    <t>Felhalmozási kiadások összesen</t>
  </si>
  <si>
    <t xml:space="preserve">Bevételek </t>
  </si>
  <si>
    <t xml:space="preserve">Oktatási, Művelődési, Ifjúsági és Sport Ágazat érdekeltségi céltartalék </t>
  </si>
  <si>
    <t>Önkormányzati tankönyv támogatás</t>
  </si>
  <si>
    <t xml:space="preserve">Csepp TV. Kft. </t>
  </si>
  <si>
    <t xml:space="preserve">Kiadások összesen </t>
  </si>
  <si>
    <t xml:space="preserve">Kiadások mindösszesen </t>
  </si>
  <si>
    <t>Felhalmozási célra nyújtott kölcsön visszatér., értékpapírok értékesítésének kibocsátásának bevétele</t>
  </si>
  <si>
    <t>2009. évi szociálpolitikai és egyéb pénzbeli juttatások  kiadásai előirányzatai</t>
  </si>
  <si>
    <t>2009. évi támogatásértékű kiadások, támogatások folyósításának előirányzatai</t>
  </si>
  <si>
    <t>2009. évi tartalékok kiadási előirányzatai</t>
  </si>
  <si>
    <t>2009. évi támogatásértékű bevételek és átvett pénzeszközök előirányzatai</t>
  </si>
  <si>
    <t>Gépjárműadó</t>
  </si>
  <si>
    <t>B.</t>
  </si>
  <si>
    <t>14.</t>
  </si>
  <si>
    <t>15.</t>
  </si>
  <si>
    <t>Közterület használati díj</t>
  </si>
  <si>
    <t>16.</t>
  </si>
  <si>
    <t>C.</t>
  </si>
  <si>
    <t>II.</t>
  </si>
  <si>
    <t>D.</t>
  </si>
  <si>
    <t>17.</t>
  </si>
  <si>
    <t>Önkormányzati lakások értékesítése</t>
  </si>
  <si>
    <t>18.</t>
  </si>
  <si>
    <t>19.</t>
  </si>
  <si>
    <t>E.</t>
  </si>
  <si>
    <t>20.</t>
  </si>
  <si>
    <t>21.</t>
  </si>
  <si>
    <t>22.</t>
  </si>
  <si>
    <t>F.</t>
  </si>
  <si>
    <t>III.</t>
  </si>
  <si>
    <t>23.</t>
  </si>
  <si>
    <t>Lakóház és nem lakás célú ingatlanok felújítása</t>
  </si>
  <si>
    <t xml:space="preserve">- Lakóház és nem lakás célú ingatlanok felújítása </t>
  </si>
  <si>
    <t>- Étkezés térítés</t>
  </si>
  <si>
    <t>Költségvetési szervnek folyósított támogatás miatti korrekció</t>
  </si>
  <si>
    <t>Biztonságos Csepelért Közalapítvány</t>
  </si>
  <si>
    <t>Működés célú pénzeszk. átadás államházt.kívülre</t>
  </si>
  <si>
    <t>Tárgyi eszközök (immateriális javak, ingatlanok) értékesítése</t>
  </si>
  <si>
    <t xml:space="preserve">A költségvetési kereteken belüli gazdálkodást és a működés biztonságát szolgáló  2 %-os önkormányzati tartalék </t>
  </si>
  <si>
    <t>- Fővárosi kerületek belterületi útjainak szilárd burkolattal való ellátása</t>
  </si>
  <si>
    <t>Kártérítés</t>
  </si>
  <si>
    <t>Működés célú támogatásértékű bevételek, előző évi támogatások, visszatérülések összesen</t>
  </si>
  <si>
    <t>Csepeli Egészségügyi Szolgálat összesen</t>
  </si>
  <si>
    <t xml:space="preserve">Rendszeres szociális pénzbeli ellátások összesen </t>
  </si>
  <si>
    <t>Rendszeres gyermekvédelmi pénzbeli ellátások összesen</t>
  </si>
  <si>
    <t xml:space="preserve">Eseti pénzbeli szociális ellátások összesen </t>
  </si>
  <si>
    <t xml:space="preserve">Szociálpolitikai és egyéb pénzbeli juttatások mindösszesen </t>
  </si>
  <si>
    <t xml:space="preserve">Eseti pénzbeli gyermekvédelmi ellátások  összesen </t>
  </si>
  <si>
    <t>2009.évi EP választás, időközi választás, népszavazás</t>
  </si>
  <si>
    <t>Általános hozzájárulás a nappali tanulók tankönyvellátásához</t>
  </si>
  <si>
    <t xml:space="preserve">Felújítás összesen </t>
  </si>
  <si>
    <t>Belföldi hitelműveletek kiadásai</t>
  </si>
  <si>
    <t>- Szociális ösztöndíj</t>
  </si>
  <si>
    <t>Rendszeres szociális pénzbeli ellátások</t>
  </si>
  <si>
    <t>Rendszeres gyermekvédelmi pénzbeli ellátások</t>
  </si>
  <si>
    <t>Eseti pénzbeli szociális ellátások</t>
  </si>
  <si>
    <t>Eseti pénzbeli gyermekvédelmi ellátások</t>
  </si>
  <si>
    <t>OEP támogatás</t>
  </si>
  <si>
    <t>28.</t>
  </si>
  <si>
    <t>29.</t>
  </si>
  <si>
    <t>30.</t>
  </si>
  <si>
    <t>31.</t>
  </si>
  <si>
    <t>V.</t>
  </si>
  <si>
    <t>2. Munkaadókat terhelő járulékok</t>
  </si>
  <si>
    <t>3. Dologi kiadás</t>
  </si>
  <si>
    <t>Működési kiadások összesen:</t>
  </si>
  <si>
    <t>ezer Ft-ban</t>
  </si>
  <si>
    <t>Megnevezés</t>
  </si>
  <si>
    <t>b</t>
  </si>
  <si>
    <t>- személyi juttatás</t>
  </si>
  <si>
    <t>Budapesti Rendőr Főkapitányság</t>
  </si>
  <si>
    <t>Térfigyelő rendszer működésének támogatása</t>
  </si>
  <si>
    <t xml:space="preserve"> Otthonmegőrzési támogatás</t>
  </si>
  <si>
    <t>Ellátottak pénzbeli juttatásai</t>
  </si>
  <si>
    <t>Pszichiátriai betegek közösségi ellátása</t>
  </si>
  <si>
    <t>- Óvodáztatási támogatás</t>
  </si>
  <si>
    <t>ebből: képviselői, bizottsági kiadások</t>
  </si>
  <si>
    <t>Csepeli Környezetvédelmi Közalapítvány</t>
  </si>
  <si>
    <t>Fővárosi Szabó Ervin Könyvtár</t>
  </si>
  <si>
    <t xml:space="preserve">Polgármesteri Hivatal összesen </t>
  </si>
  <si>
    <t>Működés célú támogatásértékű kiadások összesen</t>
  </si>
  <si>
    <t xml:space="preserve">Csevak Zrt. </t>
  </si>
  <si>
    <t>Működés célú pénzeszköz átadások államháztartáson kívülre összesen</t>
  </si>
  <si>
    <t>Társasházak Felújítási Alapjába befizetés</t>
  </si>
  <si>
    <t>Felhalmozás célú pénzeszköz átadások államháztartáson kívülre összesen</t>
  </si>
  <si>
    <t>Bevételek mindösszesen:</t>
  </si>
  <si>
    <t>Mindösszesen</t>
  </si>
  <si>
    <t>- Kisebbségi önkormányzatok működési támogatása</t>
  </si>
  <si>
    <t>- Hosszúlejáratú hitelek visszafiz. törlesztése</t>
  </si>
  <si>
    <t xml:space="preserve">- Tartalék </t>
  </si>
  <si>
    <t xml:space="preserve">- Költségvetési szervnek folyósított támogatás </t>
  </si>
  <si>
    <t>Alcím</t>
  </si>
  <si>
    <t>Intézmény neve</t>
  </si>
  <si>
    <t>Alaptevékenység szakfeladat száma</t>
  </si>
  <si>
    <t>Gazdálkodási jogkör szerint</t>
  </si>
  <si>
    <t>részben önállóan gazdálkodó intézmény</t>
  </si>
  <si>
    <t>Előirányzat megnevezése</t>
  </si>
  <si>
    <t>Költségvetési létszámkeret főben</t>
  </si>
  <si>
    <t>Kiadások ezer Ft-ban</t>
  </si>
  <si>
    <t>1. Személyi juttatás</t>
  </si>
  <si>
    <t>VI.</t>
  </si>
  <si>
    <t>VII.</t>
  </si>
  <si>
    <t>Intézményi működési bevételek (1-5-ig)</t>
  </si>
  <si>
    <t xml:space="preserve">Intézményi működéshez kapcsolódó egyéb bevételek </t>
  </si>
  <si>
    <t xml:space="preserve">Pénzügyi befektetések bevételei </t>
  </si>
  <si>
    <t>ebből: normatív állami támogatás</t>
  </si>
  <si>
    <t>6,7. Működés célú támogatásértékű bevételek, átvett pénzeszközök</t>
  </si>
  <si>
    <t>8,9. Felhalmozás célú támogatásértékű bevételek, átvett pénzeszközök</t>
  </si>
  <si>
    <t>10. Felhalmozás és tőke jellegű bevétel</t>
  </si>
  <si>
    <t>11. Előző évi pénzmaradvány</t>
  </si>
  <si>
    <t>12. Önkormányzati támogatás</t>
  </si>
  <si>
    <t>8. Felhalmozás célú támogatásértékű kiadások, pénzeszköz átadások</t>
  </si>
  <si>
    <t>6. Intézményi felújítás</t>
  </si>
  <si>
    <t>7. Egyéb felhalmozási kiadás</t>
  </si>
  <si>
    <t>36.</t>
  </si>
  <si>
    <t>- Egyéb külföldinek</t>
  </si>
  <si>
    <t xml:space="preserve">Költségvetési szervnek folyósított támogatás </t>
  </si>
  <si>
    <t>- Műk.célú pe.átadás nem pénzügyi vállalkozásnak</t>
  </si>
  <si>
    <t xml:space="preserve">- Felhalm.célú pénzeszközátadás egyéb vállalkozásnak  </t>
  </si>
  <si>
    <t>- Méltányossági közgyógyellátás</t>
  </si>
  <si>
    <t>- Belföldi hitelműveletek kiadásai</t>
  </si>
  <si>
    <t>- Rövidlejáratú hitelek visszafizetése, törlesztése</t>
  </si>
  <si>
    <t>- Áthúzódó kötelezettségek előző évről</t>
  </si>
  <si>
    <t>- Céltartalék</t>
  </si>
  <si>
    <t xml:space="preserve">Polgármesteri Hivatal </t>
  </si>
  <si>
    <t>Önkormányzat sajátos működési bevételei (A+B+C+D)</t>
  </si>
  <si>
    <t>34.</t>
  </si>
  <si>
    <t>35.</t>
  </si>
  <si>
    <t>G.</t>
  </si>
  <si>
    <t>Felhalmozási és tőkejellegű bevételek (E+F+G)</t>
  </si>
  <si>
    <t>- munkaadókat terhelő járulékok</t>
  </si>
  <si>
    <t>H.</t>
  </si>
  <si>
    <t>Véglegesen átvett  pénzeszközök (H+I)</t>
  </si>
  <si>
    <t>Felhalm.célra nyújtott kölcsön visszatér., értékpapírok értékesít., kibocsátásának bev.</t>
  </si>
  <si>
    <t>Működési bevételek összesen (1-12-ig)</t>
  </si>
  <si>
    <t>Sor-szám</t>
  </si>
  <si>
    <t>ÁFA bevételek, visszatérülések</t>
  </si>
  <si>
    <t>Pénzforgalom nélküli bevételek összesen (19)</t>
  </si>
  <si>
    <t xml:space="preserve">Működés célú támogatásértékű bevételek, átvett pénzeszközök összesen </t>
  </si>
  <si>
    <t>Vereczkei utcai Gondozóház kialakítása (tanulmányterv)</t>
  </si>
  <si>
    <t>- dologi kiadás</t>
  </si>
  <si>
    <t>Céltartalék</t>
  </si>
  <si>
    <t>1997. évi várható telj.</t>
  </si>
  <si>
    <t>Kisegítő mezőgazdasági szolgáltatás</t>
  </si>
  <si>
    <t>Polgári védelmi tevékenység</t>
  </si>
  <si>
    <t>- Működés célú pénzeszközátadás egyéb vállalkozásnak</t>
  </si>
  <si>
    <t xml:space="preserve">Adósságcsökkentési támogatásban részesülők lakásfenntartási támogatása </t>
  </si>
  <si>
    <t>- Születési támogatás</t>
  </si>
  <si>
    <t>Önállóan gazdálkodó intézmények összesen</t>
  </si>
  <si>
    <t>Céltámogatás</t>
  </si>
  <si>
    <t xml:space="preserve">ebből: </t>
  </si>
  <si>
    <t>Tűzoltók, Rendőrség jutalmazása</t>
  </si>
  <si>
    <t xml:space="preserve">- Támogatási kölcsön </t>
  </si>
  <si>
    <t>- Működés célú támogatási kölcsön törlesztése</t>
  </si>
  <si>
    <t>- Felhalmozás célú támogatási kölcsön folyósítása</t>
  </si>
  <si>
    <t>Támogatási kölcsön</t>
  </si>
  <si>
    <t>Működés célú támogatási kölcsön törlesztés</t>
  </si>
  <si>
    <t>Zöldfelület, park és berendezései felújítása</t>
  </si>
  <si>
    <t>Normatív ápolási díj</t>
  </si>
  <si>
    <t>Működés célú pénzeszköz átadások államháztartáson kívülre</t>
  </si>
  <si>
    <t>Felhalmozás célú támogatásértékű kiadások</t>
  </si>
  <si>
    <t>Felhalmozás célú pénzeszköz átadások államháztartáson kívülre</t>
  </si>
  <si>
    <t>Önállóan gazdálkodó intézmények</t>
  </si>
  <si>
    <t>Időskorúak járadéka</t>
  </si>
  <si>
    <t>Szociális ösztöndíj</t>
  </si>
  <si>
    <t>Szakfeladat  megnevezése</t>
  </si>
  <si>
    <t>Étkezés térítés</t>
  </si>
  <si>
    <t>Ifjúsági feladatok támogatására</t>
  </si>
  <si>
    <t>Általános tartalékok</t>
  </si>
  <si>
    <t xml:space="preserve">I. </t>
  </si>
  <si>
    <t>Felhalmozás célú pénzeszköz átvétel államháztartáson kívülről</t>
  </si>
  <si>
    <t xml:space="preserve">2009. évi bevételi előirányzatainak alakulása források szerint </t>
  </si>
  <si>
    <t>2009. évi kiadási előirányzatainak alakulása</t>
  </si>
  <si>
    <t xml:space="preserve">2009. évi kiadási és bevételi előirányzatainak alakulása </t>
  </si>
  <si>
    <t xml:space="preserve">2009. évi kiadási előirányzatainak alakulása szakfeladat szerint </t>
  </si>
  <si>
    <t xml:space="preserve">Oktatási, Művelődési, Ifjúsági és Sport Ágazat pedagógusnapi  polgármesteri hatáskörű jutalmak </t>
  </si>
  <si>
    <t>Átengedett központi adók (8-9-ig)</t>
  </si>
  <si>
    <t>Egyéb sajátos folyó bevételek (10-15-ig)</t>
  </si>
  <si>
    <t>Önkormányzati sajátos felhalmozási és tőke bevételek (16-17-ig)</t>
  </si>
  <si>
    <t>Bolgár Kisebbségi Önkormányzat</t>
  </si>
  <si>
    <t>Működési kiadások összesen (1+…+5)</t>
  </si>
  <si>
    <t>Felhalmozási kiadás és pü.befektetések összesen (7+…+9)</t>
  </si>
  <si>
    <t>Költségvetési kiadás összesen (6+10)</t>
  </si>
  <si>
    <t>Működés célú támogatásértékű bevételek</t>
  </si>
  <si>
    <t>Cigány Kisebbségi Önkormányzat</t>
  </si>
  <si>
    <t>Görög Kisebbségi Önkormányzat</t>
  </si>
  <si>
    <t>Német Kisebbségi Önkormányzat</t>
  </si>
  <si>
    <t>Örmény Kisebbségi Önkormányzat</t>
  </si>
  <si>
    <t>Román Kisebbségi Önkormányzat</t>
  </si>
  <si>
    <t>Ruszin  Kisebbségi Önkormányzat</t>
  </si>
  <si>
    <t>Javasolt módosítás      +, -</t>
  </si>
  <si>
    <t>Infrastruktúra keret</t>
  </si>
  <si>
    <t>Északi bevétel kamatának felhalmozási célú kerete</t>
  </si>
  <si>
    <t>Parkolási keret</t>
  </si>
  <si>
    <t>Vis major keret</t>
  </si>
  <si>
    <t xml:space="preserve">KMOP 2007-4.5.3.jelű pályázathoz önrész Vénusz u. 2. </t>
  </si>
  <si>
    <t>KMOP 2007-4.5.3.jelű pályázathoz önrész Hétszínvirág Óvoda</t>
  </si>
  <si>
    <t>Kisebbségi céltartalék (Lengyel Önkormányzat)</t>
  </si>
  <si>
    <t>Felhalmozási céltartalék északi bevételből</t>
  </si>
  <si>
    <t>ebből 2010. évre lekötött</t>
  </si>
  <si>
    <t>2008. évi le nem utalt támogatás</t>
  </si>
  <si>
    <t>Csepelért díj</t>
  </si>
  <si>
    <t>Csepel Helytörténeti és Városszépítő Egyesület</t>
  </si>
  <si>
    <t>Házunk tája verseny</t>
  </si>
  <si>
    <t>Városfejlesztési Igazgatóság költségeire</t>
  </si>
  <si>
    <t>Polgármesteri keret (Civil szervezetek)</t>
  </si>
  <si>
    <t>Weiss Manfréd Dél Pesti Szakképzés -szervezési  Kiemelkedően Közhasznú Nonprofit Kft.</t>
  </si>
  <si>
    <t>Civil Szervezetek támogatása</t>
  </si>
  <si>
    <t>ISPA pályázat</t>
  </si>
  <si>
    <t>Dél-budai szennyvíztisztító</t>
  </si>
  <si>
    <t xml:space="preserve">Társasházak </t>
  </si>
  <si>
    <t>Kémény felújítására</t>
  </si>
  <si>
    <t>Vámosgálfalva Önkormányzata</t>
  </si>
  <si>
    <t>Társasházak</t>
  </si>
  <si>
    <t>Városrehabilitációs pályázat</t>
  </si>
  <si>
    <t>Panel pályázat</t>
  </si>
  <si>
    <t>ÖKO program pályázat</t>
  </si>
  <si>
    <t>2008. évi pénzmaradvány elvonás</t>
  </si>
  <si>
    <t>Mozgáskorlátozottak közlekedési támogatás</t>
  </si>
  <si>
    <t>Ifjúsági, Családügyi, Szociális és Esélyegyenlőségi Minisztérium</t>
  </si>
  <si>
    <t>Mozgáskorlátozottak közlekedési támogatása</t>
  </si>
  <si>
    <t>Belügyminisztérium Bevándorlási Hivatal</t>
  </si>
  <si>
    <t>Létfenntartási támogatás</t>
  </si>
  <si>
    <t>Mezőgazdasági és Vidékfejlesztési Hivatal</t>
  </si>
  <si>
    <t>Iskolatej kiadásaira</t>
  </si>
  <si>
    <t>Személyes gondoskodás ig. kapcs. szakértői bizottságok támogatása</t>
  </si>
  <si>
    <t>Rendezvény támogatása</t>
  </si>
  <si>
    <t>Oktatási Szolgáltató Intézmény összesen</t>
  </si>
  <si>
    <t xml:space="preserve">Önállóan gazdálkodó intézmények </t>
  </si>
  <si>
    <t xml:space="preserve">Kerületi vállalkozások </t>
  </si>
  <si>
    <t xml:space="preserve">Oktatási Szolgáltató Intézmény </t>
  </si>
  <si>
    <t>Nemzeti Fejlesztési Ügynökség</t>
  </si>
  <si>
    <t>Felhalmozás célú támogatás értékű bevételek</t>
  </si>
  <si>
    <t>Felhalmozás célú támogatás értékű bevételek összesen</t>
  </si>
  <si>
    <t xml:space="preserve">Felhalmozás célú támogatásértékű bevételek, átvett pénzeszközök összesen </t>
  </si>
  <si>
    <t>Oktatási Kulturális Minisztérium</t>
  </si>
  <si>
    <t>Nyugat Magyarországi Egyetem  Apáczai Csere János Kar</t>
  </si>
  <si>
    <t>Mészáros Iskola gyakorlati vezetés díja</t>
  </si>
  <si>
    <t>Fővárosi Közoktatás Fejlesztési Közalapítvány</t>
  </si>
  <si>
    <t>Tempus Közalapítvány</t>
  </si>
  <si>
    <t>Eötvös Iskola utazás támogatása</t>
  </si>
  <si>
    <t>Kétnyelvű Iskola Egyesület</t>
  </si>
  <si>
    <t>Széchenyi Ált.Isk.verseny támogatása</t>
  </si>
  <si>
    <t>Magyar Vöröskereszt</t>
  </si>
  <si>
    <t>Óvodák, Iskolák oktatás fejlesztési eszközök beszerzése</t>
  </si>
  <si>
    <t>KMOP 4.5.3-2007. pályázatra támogatás</t>
  </si>
  <si>
    <t>Szülők befizetése kirándulásra</t>
  </si>
  <si>
    <t>Működés célú pénzeszköz átvétel államháztartáson kívülről összesen</t>
  </si>
  <si>
    <t>Felhalmozás célú pénzeszköz átvétel államháztartáson kívülről mindösszesen</t>
  </si>
  <si>
    <t>Református templom állagmegóvási munkálatainak támogatása</t>
  </si>
  <si>
    <t>Ellátottak pénzbeli juttatása mindösszesen</t>
  </si>
  <si>
    <t>KMOP 4.6.1/B.2-2008. pályázatra támogatás</t>
  </si>
  <si>
    <t>Tartalékok mindösszesen (I+II+III)</t>
  </si>
  <si>
    <t>Céltartalékok összesen (1-34-ig)</t>
  </si>
  <si>
    <t>Általános tartalékok összesen (1-2-ig)</t>
  </si>
  <si>
    <t>Felhalmozás célú támogatásértékű kiadások összesen</t>
  </si>
  <si>
    <t>2009. évi előirányzatainak alakulása</t>
  </si>
  <si>
    <t>Önkormányzati Minisztérium</t>
  </si>
  <si>
    <t>Időközi Helyi Önkormányzati Képviselő Választásra előleg</t>
  </si>
  <si>
    <t>18/2009.(VI.18) Kt.rend.mód. előirányzata</t>
  </si>
  <si>
    <t>18/2009(VI.18) Kt.rend.mód. előirányzata</t>
  </si>
  <si>
    <t>Javasolt módosítás     +, -</t>
  </si>
  <si>
    <t>- Rendszeres szociális segély (nem foglalkoztatottak)</t>
  </si>
  <si>
    <t>- Rendszeres szociális segély (55. évet betöltöttek)</t>
  </si>
  <si>
    <t>- Rendszeres szociális segély (egészségkárosodottak)</t>
  </si>
  <si>
    <t>- Rendszeres szociális segély (keresőtevékenység mellett)</t>
  </si>
  <si>
    <t>Felújítás támogatása</t>
  </si>
  <si>
    <t>2008. évről áthúzódó működés támogatása</t>
  </si>
  <si>
    <t>Működés támogatása (Csepeli Bolgár Önkormányzat)</t>
  </si>
  <si>
    <t>Magyarországi Bolgárok Egyesülete</t>
  </si>
  <si>
    <t>Bolgár Ifjúsági Egyesület</t>
  </si>
  <si>
    <t>Bolgár Anyanyelvű és Népismereti tábor támogatása (Csepeli Bolgár Önkormányzat)</t>
  </si>
  <si>
    <t>37.</t>
  </si>
  <si>
    <t>Új Mesterségek Bölcsője Művészeti Óvodai Alapítvány</t>
  </si>
  <si>
    <t>Működés támogatása (Csepeli Örmény Önkormányzat)</t>
  </si>
  <si>
    <t>Csepeli Néptánc Alapítvány</t>
  </si>
  <si>
    <t>38.</t>
  </si>
  <si>
    <t>39.</t>
  </si>
  <si>
    <t>Rendszeres szociális segély (nem foglalkoztatottak)</t>
  </si>
  <si>
    <t>Rendszeres szociális segély (55 évet betöltöttek)</t>
  </si>
  <si>
    <t>Rendszeres szociális segély (egészségkárosodottak)</t>
  </si>
  <si>
    <t>Rendszeres szociális segély (keresőtevékenység mellett)</t>
  </si>
  <si>
    <t>Szigetszentmiklósi Önkormányzat</t>
  </si>
  <si>
    <t>Csepeli intézményekben foglalkoztatott gyerekek térítési díjaira</t>
  </si>
  <si>
    <t>Európai Parlamenti Választásra</t>
  </si>
  <si>
    <t>Pénzbeli gyermekvédelmi támogatás</t>
  </si>
  <si>
    <t>Nemzeti Kulturális Alap</t>
  </si>
  <si>
    <t>Kölcsey F. Általános Iskola támogatás</t>
  </si>
  <si>
    <t>Miskolci Egyetem</t>
  </si>
  <si>
    <t xml:space="preserve">Kék Ált. Isk. gyakorlati vezetés díja </t>
  </si>
  <si>
    <t>Móra F.Ált.Isk.  Csete SZKI, Karácsony S.Ált.Isk. ösztöndíj lebonyolítási díj</t>
  </si>
  <si>
    <t>Iskola táboroztatás támogatása</t>
  </si>
  <si>
    <t>Nagy Imre Általános Művelődési Központ összesen</t>
  </si>
  <si>
    <t>TÁMOP 3.1.4-08/1-2009-0023 pályázat</t>
  </si>
  <si>
    <t>Magyarországi Nemzeti Etnikai Közalapítvány</t>
  </si>
  <si>
    <t>Eötvös Isk. nyelvi és népismereti tábor</t>
  </si>
  <si>
    <t>Petőfi Csarnok Kht.</t>
  </si>
  <si>
    <t xml:space="preserve">CSMK Szüni Dö-Dö programok </t>
  </si>
  <si>
    <t>Katona, Kék, Fasang, Eötvös, Herman Iskolák, Tátika, Gyermekláncfű, Erdősor  Óvodák</t>
  </si>
  <si>
    <t>Szakmai programok támogatása</t>
  </si>
  <si>
    <t>Önállóan gazdálkodó Intézmények összesen</t>
  </si>
  <si>
    <t>Völgy u. - Erdőalja u. - Kölcsey u. jelzőlámpás forgalomirányítás létesítése</t>
  </si>
  <si>
    <t>Kerületi lakosok</t>
  </si>
  <si>
    <t>Hozzájárulás csatornaépítéshez</t>
  </si>
  <si>
    <t>- Egyéb</t>
  </si>
  <si>
    <t>Központi költségvetési támogatás (18-22-ig)</t>
  </si>
  <si>
    <t>Működési célú támogatásértékű bevételek, átvett pénzeszközök (23-26-ig)</t>
  </si>
  <si>
    <t>Felhalmozási célú támogatásértékű bevételek, átvett pénzeszközök (27-28-ig)</t>
  </si>
  <si>
    <t>Pénzforgalom nélküli bevételek  (29)</t>
  </si>
  <si>
    <t>Közművelődés Szünidödő programra</t>
  </si>
  <si>
    <t>Martenica Néptánc Egyesület</t>
  </si>
  <si>
    <t>Hagyományőrző tábor bolgár származású gyerekek részére a bolgár tengerparton (Csepeli Bolgár Önkormányzat)</t>
  </si>
  <si>
    <t>Finanszírozási bevételek   (30-35-ig)</t>
  </si>
  <si>
    <t>Költségvetési bevételek (I+…+VIII)</t>
  </si>
  <si>
    <t>Költségvetési kiadások (I+…+IV)</t>
  </si>
  <si>
    <t>Pénzkészlet,ktgvetési függő,átfutó kiegy.kiadás</t>
  </si>
  <si>
    <t>Finanszírozási kiadások  (1+2)</t>
  </si>
  <si>
    <t>(ebből: tárgyévi hiány)</t>
  </si>
  <si>
    <t xml:space="preserve">Költségvetési bevételek </t>
  </si>
  <si>
    <t>Finanszírozási bevételek  (20-24-ig)</t>
  </si>
  <si>
    <t>Bevételek összesen (I+…IX)</t>
  </si>
  <si>
    <t>Bevételek mindösszesen (I+…XI)</t>
  </si>
  <si>
    <t>Kiadások összesen (I+…V)</t>
  </si>
  <si>
    <t>Kiadások mindösszesen (I+…VII)</t>
  </si>
  <si>
    <t>25/2009.(IX.22) Kt.rend.mód. előirányzata</t>
  </si>
  <si>
    <t>25/2009(IX.22) Kt.rend.mód. előirányzata</t>
  </si>
  <si>
    <t>2009. évi   eredeti előirányzat</t>
  </si>
  <si>
    <t>Országos Széchenyi Könyvtár</t>
  </si>
  <si>
    <t>Közművelődési dolgozók továbbképzésére</t>
  </si>
  <si>
    <t>Fővárosi Gázművek Zrt.</t>
  </si>
  <si>
    <t>Mátyás K. Általános Iskola gázkazán csere, kéményfelújítás</t>
  </si>
  <si>
    <t>Aszód Város Ruszin Kisebbségi Önkormányzat</t>
  </si>
  <si>
    <t>Kezdő és középhaladó szintű ruszin társalgási nyelvkönyv megjelentetésére</t>
  </si>
  <si>
    <t>Jövő Záloga Szakképzés szervezési Kiemelkedően Közhasznú Nonprofit Kft.</t>
  </si>
  <si>
    <t xml:space="preserve">Budapesti Zsidó Hitközség </t>
  </si>
  <si>
    <t>Csepeli izraelita temető kerítés, kapu, kegyeleti helyiségek felújítására</t>
  </si>
  <si>
    <t>40.</t>
  </si>
  <si>
    <t>41.</t>
  </si>
  <si>
    <t>Költségvetgési létszámkeret (korrigált)</t>
  </si>
  <si>
    <t>783/2009.(XI.24.) Kt. sz. határozat miatt korrekció</t>
  </si>
  <si>
    <t>783/2009.(XI.24.) Kt. sz. határozat 2009. XII.15. hatállyal</t>
  </si>
  <si>
    <t>533/2009.(IX.22.) Kt. sz. határozat 2009. X.1. hatállyal</t>
  </si>
  <si>
    <t>783/2009.(XI.24.) Kt. sz. határozat 2009. VII.1. hatállyal</t>
  </si>
  <si>
    <t>Költségvetési létszámkeret (korrigált)</t>
  </si>
  <si>
    <t>Ady projekthez kapcsolódó Önkormányzati tulajdoni hányadra eső önrész</t>
  </si>
  <si>
    <t>Kassai u. - Katona  jelzőlámpás forgalomirányítás létesítése</t>
  </si>
  <si>
    <t>Bevételek összesen (11+...+18)</t>
  </si>
  <si>
    <t>Városrehabilitációs pályázatok önkormányzati tulajdoni hányadára eső önrész</t>
  </si>
  <si>
    <t>Budapest XXI. Kerület Csepel Önkormányzata Oktatási Szolgáltató Intézmény részben önállóan gazdálkodó intézményei</t>
  </si>
  <si>
    <t>Nevelési Tanácsadó</t>
  </si>
  <si>
    <t>Tanuszoda+Sportcsoport</t>
  </si>
  <si>
    <t>Fasang Árpád Zeneiskola</t>
  </si>
  <si>
    <t>Pedagógiai Szakmai Szolgáltató Intézmény</t>
  </si>
  <si>
    <t>25/2009.(IX.22.)
Kt.rend.mód.
előirányzata</t>
  </si>
  <si>
    <t>5. Szoc.pol.és egyéb pénzbeli juttatás</t>
  </si>
  <si>
    <t>4. ÁFA bevétel, visszatérülés</t>
  </si>
  <si>
    <t>5. Kamat bevétel</t>
  </si>
  <si>
    <t xml:space="preserve"> normatív kötött támogatás (ped.szakszolg)</t>
  </si>
  <si>
    <t>Csepel Galéria</t>
  </si>
  <si>
    <t>Központi Műhely</t>
  </si>
  <si>
    <t>Hétszínvirág Napköziotth.Óvoda</t>
  </si>
  <si>
    <t xml:space="preserve"> Tátika Napköziotthonos Óvoda </t>
  </si>
  <si>
    <t>norm.kötött támogatás (ped.szakszolg)</t>
  </si>
  <si>
    <t>Kádár Katalin Napköziotth.Óvoda</t>
  </si>
  <si>
    <t>Játéksziget Óvoda Jupiter 24/a.</t>
  </si>
  <si>
    <t>Népműv. és Kézműv. Óvoda</t>
  </si>
  <si>
    <t>Erdei Óvodák</t>
  </si>
  <si>
    <t>norm. kötött támogatás (pedag. szakszolg.)</t>
  </si>
  <si>
    <t>Kerekvilág Napköziotth.Óvoda</t>
  </si>
  <si>
    <t>Gyermeksziget Óvoda Kossuth L.u.</t>
  </si>
  <si>
    <t>Csodakút Óvoda Rákóczi 110.</t>
  </si>
  <si>
    <t xml:space="preserve">Szivárvány Napköziotth.Óvoda </t>
  </si>
  <si>
    <t>norm. kötött támogatás (pedag.szakszolg)</t>
  </si>
  <si>
    <t>Csillagtelepi óvodák</t>
  </si>
  <si>
    <t>Napköziotth.Óvoda Erdősor 110.</t>
  </si>
  <si>
    <t>Gyermekláncfű Napköziotth.Óvoda</t>
  </si>
  <si>
    <t>Aprajafalva Napköziotth.Óvoda</t>
  </si>
  <si>
    <t xml:space="preserve">              norm.kötött támogatás (pedag. Szakszolg)</t>
  </si>
  <si>
    <t>Móra Ferenc Ált. Iskola</t>
  </si>
  <si>
    <t>Vermes Miklós Ált. Iskola</t>
  </si>
  <si>
    <t>Gr. Széchenyi István Ált. Iskola</t>
  </si>
  <si>
    <t>Kölcsey Ferenc Ált. Iskola</t>
  </si>
  <si>
    <t xml:space="preserve">              norm.kötött támogatás (pedag.szakszolg)</t>
  </si>
  <si>
    <t>Kazinczy Ferenc Ált. Iskola</t>
  </si>
  <si>
    <t>Mátyás Király Ált. Iskola</t>
  </si>
  <si>
    <t>Szárcsa Ált. Iskola</t>
  </si>
  <si>
    <t>Lajtha László Ált. Iskola</t>
  </si>
  <si>
    <t xml:space="preserve">              norm.kötött támogatás (pedag.szakszolg.)</t>
  </si>
  <si>
    <t xml:space="preserve"> </t>
  </si>
  <si>
    <t>Eötvös József Ált. Iskola</t>
  </si>
  <si>
    <t>Katona József Ált. Iskola</t>
  </si>
  <si>
    <t>Karácsony Sándor Ált. Iskola</t>
  </si>
  <si>
    <t>Kék Általános Iskola</t>
  </si>
  <si>
    <t xml:space="preserve">              norm. kötött támogatás (pedag.szakszolg)</t>
  </si>
  <si>
    <t>Budapes XXI. Kerület Csepel Önkormányzata Oktatási Szolgáltató Intézmény részben önállóan gazdálkodó intézményei</t>
  </si>
  <si>
    <t>Herman Ottó Ált. Iskola.</t>
  </si>
  <si>
    <t>Mészáros Jenő Ált. Iskola</t>
  </si>
  <si>
    <t>Jedlik Ányos Gimnázium</t>
  </si>
  <si>
    <t>Csete Balázs Középiskola</t>
  </si>
  <si>
    <t>108311</t>
  </si>
  <si>
    <t>Budapest  XXI. Kerület Csepel Önkormányzata Oktatási Szolgáltató Intézmény részben önállóan gazdálkodó intézményei</t>
  </si>
  <si>
    <t>Csepeli Művelődési Központ</t>
  </si>
  <si>
    <t>Egyesített Bölcsődék</t>
  </si>
  <si>
    <t xml:space="preserve">              norm. kötött támogatás (pedag. szakszolg)</t>
  </si>
  <si>
    <t>Javasolt módosítás      +,-</t>
  </si>
  <si>
    <t>44/2009.(XII.15) Kt.rend.mód. előirányzata</t>
  </si>
  <si>
    <t>44/2009(XII.15) Kt.rend.mód. előirányzata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</si>
</sst>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"/>
    <numFmt numFmtId="165" formatCode="yyyy"/>
    <numFmt numFmtId="166" formatCode="#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0.0000"/>
    <numFmt numFmtId="172" formatCode="0.000"/>
    <numFmt numFmtId="173" formatCode="0.0"/>
    <numFmt numFmtId="174" formatCode="0,000,000"/>
    <numFmt numFmtId="175" formatCode="#,###,###"/>
    <numFmt numFmtId="176" formatCode="###\ ###\ ##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#,###,##0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_ ;\-#,##0\ "/>
    <numFmt numFmtId="187" formatCode="#,##0.00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-* #,##0.0\ _F_t_-;\-* #,##0.0\ _F_t_-;_-* &quot;-&quot;??\ _F_t_-;_-@_-"/>
    <numFmt numFmtId="197" formatCode="_-* #,##0\ _F_t_-;\-* #,##0\ _F_t_-;_-* &quot;-&quot;??\ _F_t_-;_-@_-"/>
    <numFmt numFmtId="198" formatCode="&quot;?&quot;#,##0"/>
    <numFmt numFmtId="199" formatCode="&quot;?&quot;\ #,##0"/>
    <numFmt numFmtId="200" formatCode="&quot;*&quot;\ #,##0"/>
    <numFmt numFmtId="201" formatCode="#,##0.0000"/>
    <numFmt numFmtId="202" formatCode="0.0%"/>
    <numFmt numFmtId="203" formatCode="&quot;*&quot;#,##0"/>
    <numFmt numFmtId="204" formatCode="#,##0\ &quot;Ft&quot;"/>
    <numFmt numFmtId="205" formatCode="#,##0\ _F_t"/>
  </numFmts>
  <fonts count="7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b/>
      <sz val="10"/>
      <color indexed="8"/>
      <name val="Times New Roman CE"/>
      <family val="0"/>
    </font>
    <font>
      <i/>
      <sz val="10"/>
      <name val="Times New Roman CE"/>
      <family val="0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9"/>
      <name val="Times New Roman CE"/>
      <family val="0"/>
    </font>
    <font>
      <b/>
      <i/>
      <sz val="9"/>
      <color indexed="8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9"/>
      <name val="Times New Roman CE"/>
      <family val="0"/>
    </font>
    <font>
      <b/>
      <sz val="9"/>
      <color indexed="8"/>
      <name val="Times New Roman CE"/>
      <family val="0"/>
    </font>
    <font>
      <i/>
      <sz val="9"/>
      <name val="Times New Roman CE"/>
      <family val="0"/>
    </font>
    <font>
      <sz val="12"/>
      <name val="Times New Roman CE"/>
      <family val="1"/>
    </font>
    <font>
      <sz val="12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8"/>
      <name val="Times New Roman CE"/>
      <family val="1"/>
    </font>
    <font>
      <sz val="9"/>
      <name val="Arial CE"/>
      <family val="0"/>
    </font>
    <font>
      <sz val="9"/>
      <name val="MS Sans Serif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i/>
      <sz val="9"/>
      <name val="MS Sans Serif"/>
      <family val="2"/>
    </font>
    <font>
      <sz val="14"/>
      <name val="MS Sans Serif"/>
      <family val="0"/>
    </font>
    <font>
      <b/>
      <sz val="12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i/>
      <sz val="8"/>
      <name val="Arial CE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 CE"/>
      <family val="1"/>
    </font>
    <font>
      <sz val="13"/>
      <name val="MS Sans Serif"/>
      <family val="2"/>
    </font>
    <font>
      <b/>
      <i/>
      <sz val="13"/>
      <name val="Times New Roman CE"/>
      <family val="1"/>
    </font>
    <font>
      <sz val="8"/>
      <color indexed="8"/>
      <name val="Times New Roman CE"/>
      <family val="0"/>
    </font>
    <font>
      <sz val="8"/>
      <color indexed="10"/>
      <name val="Arial CE"/>
      <family val="0"/>
    </font>
    <font>
      <b/>
      <i/>
      <sz val="8"/>
      <color indexed="10"/>
      <name val="Arial CE"/>
      <family val="0"/>
    </font>
    <font>
      <sz val="10"/>
      <color indexed="10"/>
      <name val="Times New Roman"/>
      <family val="1"/>
    </font>
    <font>
      <sz val="10"/>
      <color indexed="10"/>
      <name val="MS Sans Serif"/>
      <family val="2"/>
    </font>
    <font>
      <b/>
      <sz val="9"/>
      <name val="Times New Roman"/>
      <family val="1"/>
    </font>
    <font>
      <b/>
      <sz val="8"/>
      <color indexed="8"/>
      <name val="Times New Roman CE"/>
      <family val="0"/>
    </font>
    <font>
      <sz val="9"/>
      <color indexed="10"/>
      <name val="MS Sans Serif"/>
      <family val="2"/>
    </font>
    <font>
      <b/>
      <sz val="9"/>
      <color indexed="10"/>
      <name val="MS Sans Serif"/>
      <family val="2"/>
    </font>
    <font>
      <b/>
      <sz val="8"/>
      <name val="MS Sans Serif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10"/>
      <name val="Times New Roman"/>
      <family val="1"/>
    </font>
    <font>
      <sz val="7"/>
      <name val="Times New Roman CE"/>
      <family val="1"/>
    </font>
    <font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1" fillId="7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4" borderId="7" applyNumberFormat="0" applyFont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8" fillId="6" borderId="0" applyNumberFormat="0" applyBorder="0" applyAlignment="0" applyProtection="0"/>
    <xf numFmtId="0" fontId="69" fillId="16" borderId="8" applyNumberFormat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1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2" fillId="17" borderId="0" applyNumberFormat="0" applyBorder="0" applyAlignment="0" applyProtection="0"/>
    <xf numFmtId="0" fontId="73" fillId="7" borderId="0" applyNumberFormat="0" applyBorder="0" applyAlignment="0" applyProtection="0"/>
    <xf numFmtId="0" fontId="74" fillId="16" borderId="1" applyNumberFormat="0" applyAlignment="0" applyProtection="0"/>
    <xf numFmtId="9" fontId="0" fillId="0" borderId="0" applyFont="0" applyFill="0" applyBorder="0" applyAlignment="0" applyProtection="0"/>
  </cellStyleXfs>
  <cellXfs count="911">
    <xf numFmtId="0" fontId="0" fillId="0" borderId="0" xfId="0" applyAlignment="1">
      <alignment/>
    </xf>
    <xf numFmtId="0" fontId="5" fillId="0" borderId="0" xfId="58" applyFont="1" applyProtection="1">
      <alignment/>
      <protection hidden="1"/>
    </xf>
    <xf numFmtId="0" fontId="6" fillId="0" borderId="0" xfId="58" applyFont="1" applyAlignment="1" applyProtection="1">
      <alignment vertical="center"/>
      <protection hidden="1"/>
    </xf>
    <xf numFmtId="0" fontId="5" fillId="0" borderId="0" xfId="58" applyFont="1" applyAlignment="1" applyProtection="1">
      <alignment vertical="center"/>
      <protection hidden="1"/>
    </xf>
    <xf numFmtId="0" fontId="5" fillId="0" borderId="0" xfId="58" applyFont="1" applyBorder="1" applyProtection="1">
      <alignment/>
      <protection hidden="1"/>
    </xf>
    <xf numFmtId="3" fontId="6" fillId="0" borderId="0" xfId="58" applyNumberFormat="1" applyFont="1" applyProtection="1">
      <alignment/>
      <protection hidden="1"/>
    </xf>
    <xf numFmtId="0" fontId="5" fillId="0" borderId="0" xfId="58" applyFont="1" applyBorder="1" applyAlignment="1" applyProtection="1">
      <alignment/>
      <protection hidden="1"/>
    </xf>
    <xf numFmtId="3" fontId="9" fillId="0" borderId="0" xfId="61" applyNumberFormat="1" applyFont="1">
      <alignment/>
      <protection/>
    </xf>
    <xf numFmtId="3" fontId="7" fillId="0" borderId="10" xfId="0" applyNumberFormat="1" applyFont="1" applyBorder="1" applyAlignment="1">
      <alignment vertical="center"/>
    </xf>
    <xf numFmtId="3" fontId="6" fillId="0" borderId="10" xfId="58" applyNumberFormat="1" applyFont="1" applyBorder="1" applyAlignment="1" applyProtection="1">
      <alignment horizontal="right" vertical="center"/>
      <protection hidden="1"/>
    </xf>
    <xf numFmtId="0" fontId="7" fillId="0" borderId="0" xfId="58" applyFont="1" applyAlignment="1" applyProtection="1">
      <alignment vertical="center"/>
      <protection hidden="1"/>
    </xf>
    <xf numFmtId="0" fontId="7" fillId="0" borderId="10" xfId="58" applyFont="1" applyBorder="1" applyAlignment="1" applyProtection="1">
      <alignment vertical="center"/>
      <protection hidden="1"/>
    </xf>
    <xf numFmtId="0" fontId="5" fillId="0" borderId="10" xfId="58" applyFont="1" applyBorder="1" applyAlignment="1" applyProtection="1">
      <alignment vertical="center"/>
      <protection hidden="1"/>
    </xf>
    <xf numFmtId="0" fontId="12" fillId="0" borderId="11" xfId="58" applyFont="1" applyBorder="1" applyAlignment="1" applyProtection="1">
      <alignment vertical="center"/>
      <protection hidden="1"/>
    </xf>
    <xf numFmtId="0" fontId="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58" applyFont="1" applyAlignment="1" applyProtection="1">
      <alignment vertical="center"/>
      <protection hidden="1"/>
    </xf>
    <xf numFmtId="182" fontId="6" fillId="0" borderId="10" xfId="58" applyNumberFormat="1" applyFont="1" applyBorder="1" applyAlignment="1" applyProtection="1">
      <alignment horizontal="right" vertical="center"/>
      <protection hidden="1"/>
    </xf>
    <xf numFmtId="0" fontId="12" fillId="0" borderId="10" xfId="58" applyFont="1" applyBorder="1" applyAlignment="1" applyProtection="1">
      <alignment vertical="center"/>
      <protection hidden="1"/>
    </xf>
    <xf numFmtId="0" fontId="7" fillId="0" borderId="10" xfId="0" applyFont="1" applyBorder="1" applyAlignment="1">
      <alignment horizontal="right" vertical="center"/>
    </xf>
    <xf numFmtId="0" fontId="14" fillId="0" borderId="12" xfId="61" applyFont="1" applyBorder="1" applyAlignment="1">
      <alignment horizontal="left" vertical="center"/>
      <protection/>
    </xf>
    <xf numFmtId="0" fontId="7" fillId="0" borderId="0" xfId="58" applyFont="1" applyProtection="1">
      <alignment/>
      <protection hidden="1"/>
    </xf>
    <xf numFmtId="0" fontId="5" fillId="0" borderId="10" xfId="0" applyFont="1" applyBorder="1" applyAlignment="1">
      <alignment horizontal="left" wrapText="1"/>
    </xf>
    <xf numFmtId="0" fontId="5" fillId="0" borderId="10" xfId="58" applyFont="1" applyBorder="1" applyAlignment="1" applyProtection="1">
      <alignment horizontal="right" vertical="center"/>
      <protection hidden="1"/>
    </xf>
    <xf numFmtId="0" fontId="7" fillId="0" borderId="10" xfId="58" applyFont="1" applyBorder="1" applyAlignment="1" applyProtection="1">
      <alignment horizontal="right" vertical="center"/>
      <protection hidden="1"/>
    </xf>
    <xf numFmtId="0" fontId="1" fillId="0" borderId="0" xfId="0" applyFont="1" applyAlignment="1">
      <alignment vertical="center"/>
    </xf>
    <xf numFmtId="0" fontId="6" fillId="0" borderId="10" xfId="58" applyFont="1" applyBorder="1" applyAlignment="1" applyProtection="1">
      <alignment horizontal="right" vertical="center"/>
      <protection hidden="1"/>
    </xf>
    <xf numFmtId="0" fontId="5" fillId="0" borderId="10" xfId="58" applyFont="1" applyBorder="1" applyAlignment="1" applyProtection="1">
      <alignment horizontal="right" vertical="center"/>
      <protection hidden="1"/>
    </xf>
    <xf numFmtId="3" fontId="16" fillId="0" borderId="13" xfId="61" applyNumberFormat="1" applyFont="1" applyBorder="1" applyAlignment="1">
      <alignment horizontal="center" vertical="center" wrapText="1"/>
      <protection/>
    </xf>
    <xf numFmtId="0" fontId="16" fillId="0" borderId="12" xfId="61" applyFont="1" applyBorder="1" applyAlignment="1">
      <alignment horizontal="right" vertical="center"/>
      <protection/>
    </xf>
    <xf numFmtId="0" fontId="5" fillId="0" borderId="10" xfId="58" applyFont="1" applyBorder="1" applyAlignment="1" applyProtection="1">
      <alignment horizontal="right"/>
      <protection hidden="1"/>
    </xf>
    <xf numFmtId="0" fontId="16" fillId="0" borderId="14" xfId="61" applyFont="1" applyBorder="1" applyAlignment="1">
      <alignment horizontal="right" vertical="center"/>
      <protection/>
    </xf>
    <xf numFmtId="3" fontId="16" fillId="0" borderId="15" xfId="61" applyNumberFormat="1" applyFont="1" applyBorder="1" applyAlignment="1">
      <alignment horizontal="center" vertical="center" wrapText="1"/>
      <protection/>
    </xf>
    <xf numFmtId="0" fontId="16" fillId="0" borderId="10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7" fillId="0" borderId="10" xfId="58" applyNumberFormat="1" applyFont="1" applyBorder="1" applyAlignment="1" applyProtection="1">
      <alignment horizontal="right" vertical="center"/>
      <protection hidden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 quotePrefix="1">
      <alignment vertical="center" wrapText="1"/>
    </xf>
    <xf numFmtId="0" fontId="5" fillId="0" borderId="10" xfId="58" applyFont="1" applyBorder="1" applyAlignment="1" applyProtection="1" quotePrefix="1">
      <alignment horizontal="left" indent="2"/>
      <protection hidden="1"/>
    </xf>
    <xf numFmtId="0" fontId="5" fillId="0" borderId="10" xfId="58" applyFont="1" applyBorder="1" applyAlignment="1" applyProtection="1">
      <alignment vertical="center" wrapText="1"/>
      <protection hidden="1"/>
    </xf>
    <xf numFmtId="0" fontId="5" fillId="0" borderId="10" xfId="58" applyFont="1" applyBorder="1" applyAlignment="1" applyProtection="1">
      <alignment vertical="center"/>
      <protection hidden="1"/>
    </xf>
    <xf numFmtId="0" fontId="5" fillId="0" borderId="10" xfId="58" applyFont="1" applyBorder="1" applyAlignment="1" applyProtection="1">
      <alignment/>
      <protection hidden="1"/>
    </xf>
    <xf numFmtId="3" fontId="5" fillId="0" borderId="10" xfId="58" applyNumberFormat="1" applyFont="1" applyBorder="1" applyAlignment="1" applyProtection="1">
      <alignment/>
      <protection hidden="1"/>
    </xf>
    <xf numFmtId="0" fontId="6" fillId="0" borderId="10" xfId="58" applyFont="1" applyBorder="1" applyAlignment="1" applyProtection="1">
      <alignment vertical="center"/>
      <protection hidden="1"/>
    </xf>
    <xf numFmtId="0" fontId="6" fillId="0" borderId="10" xfId="0" applyFont="1" applyBorder="1" applyAlignment="1">
      <alignment horizontal="left" vertical="center" wrapText="1"/>
    </xf>
    <xf numFmtId="3" fontId="6" fillId="0" borderId="10" xfId="58" applyNumberFormat="1" applyFont="1" applyBorder="1" applyAlignment="1" applyProtection="1">
      <alignment horizontal="right" vertical="center"/>
      <protection locked="0"/>
    </xf>
    <xf numFmtId="0" fontId="5" fillId="0" borderId="17" xfId="58" applyFont="1" applyBorder="1" applyAlignment="1" applyProtection="1">
      <alignment horizontal="right" vertical="center"/>
      <protection hidden="1"/>
    </xf>
    <xf numFmtId="0" fontId="5" fillId="0" borderId="16" xfId="58" applyFont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3" fontId="7" fillId="0" borderId="10" xfId="58" applyNumberFormat="1" applyFont="1" applyBorder="1" applyAlignment="1" applyProtection="1">
      <alignment horizontal="right" vertical="center"/>
      <protection locked="0"/>
    </xf>
    <xf numFmtId="3" fontId="5" fillId="0" borderId="10" xfId="58" applyNumberFormat="1" applyFont="1" applyBorder="1" applyAlignment="1" applyProtection="1">
      <alignment horizontal="right" vertical="center"/>
      <protection locked="0"/>
    </xf>
    <xf numFmtId="3" fontId="5" fillId="0" borderId="17" xfId="58" applyNumberFormat="1" applyFont="1" applyBorder="1" applyAlignment="1" applyProtection="1">
      <alignment horizontal="right" vertical="center"/>
      <protection locked="0"/>
    </xf>
    <xf numFmtId="3" fontId="5" fillId="0" borderId="16" xfId="58" applyNumberFormat="1" applyFont="1" applyBorder="1" applyAlignment="1" applyProtection="1">
      <alignment horizontal="right" vertical="center"/>
      <protection locked="0"/>
    </xf>
    <xf numFmtId="3" fontId="5" fillId="0" borderId="10" xfId="58" applyNumberFormat="1" applyFont="1" applyBorder="1" applyAlignment="1" applyProtection="1">
      <alignment horizontal="right" vertical="center"/>
      <protection hidden="1"/>
    </xf>
    <xf numFmtId="3" fontId="5" fillId="0" borderId="17" xfId="58" applyNumberFormat="1" applyFont="1" applyBorder="1" applyAlignment="1" applyProtection="1">
      <alignment horizontal="right" vertical="center"/>
      <protection hidden="1"/>
    </xf>
    <xf numFmtId="3" fontId="5" fillId="0" borderId="16" xfId="58" applyNumberFormat="1" applyFont="1" applyBorder="1" applyAlignment="1" applyProtection="1">
      <alignment horizontal="right" vertical="center"/>
      <protection hidden="1"/>
    </xf>
    <xf numFmtId="3" fontId="7" fillId="0" borderId="10" xfId="0" applyNumberFormat="1" applyFont="1" applyBorder="1" applyAlignment="1">
      <alignment vertical="center"/>
    </xf>
    <xf numFmtId="0" fontId="10" fillId="0" borderId="0" xfId="58" applyFont="1" applyProtection="1">
      <alignment/>
      <protection hidden="1"/>
    </xf>
    <xf numFmtId="0" fontId="7" fillId="0" borderId="10" xfId="58" applyFont="1" applyBorder="1" applyAlignment="1" applyProtection="1">
      <alignment horizontal="right" vertical="center"/>
      <protection hidden="1"/>
    </xf>
    <xf numFmtId="0" fontId="7" fillId="0" borderId="10" xfId="58" applyFont="1" applyBorder="1" applyAlignment="1" applyProtection="1">
      <alignment vertical="center"/>
      <protection hidden="1"/>
    </xf>
    <xf numFmtId="0" fontId="7" fillId="0" borderId="0" xfId="58" applyFont="1" applyAlignment="1" applyProtection="1">
      <alignment vertical="center"/>
      <protection hidden="1"/>
    </xf>
    <xf numFmtId="0" fontId="7" fillId="0" borderId="17" xfId="58" applyFont="1" applyBorder="1" applyAlignment="1" applyProtection="1">
      <alignment horizontal="right"/>
      <protection hidden="1"/>
    </xf>
    <xf numFmtId="0" fontId="7" fillId="0" borderId="0" xfId="58" applyFont="1" applyProtection="1">
      <alignment/>
      <protection hidden="1"/>
    </xf>
    <xf numFmtId="0" fontId="7" fillId="0" borderId="10" xfId="58" applyFont="1" applyBorder="1" applyAlignment="1" applyProtection="1">
      <alignment horizontal="right"/>
      <protection hidden="1"/>
    </xf>
    <xf numFmtId="3" fontId="10" fillId="0" borderId="10" xfId="58" applyNumberFormat="1" applyFont="1" applyBorder="1" applyAlignment="1" applyProtection="1">
      <alignment horizontal="right" vertical="center"/>
      <protection locked="0"/>
    </xf>
    <xf numFmtId="3" fontId="5" fillId="0" borderId="0" xfId="58" applyNumberFormat="1" applyFont="1" applyProtection="1">
      <alignment/>
      <protection hidden="1"/>
    </xf>
    <xf numFmtId="182" fontId="5" fillId="0" borderId="10" xfId="58" applyNumberFormat="1" applyFont="1" applyBorder="1" applyAlignment="1" applyProtection="1">
      <alignment horizontal="right" vertical="center"/>
      <protection hidden="1"/>
    </xf>
    <xf numFmtId="3" fontId="16" fillId="0" borderId="10" xfId="61" applyNumberFormat="1" applyFont="1" applyBorder="1" applyAlignment="1">
      <alignment vertical="center" wrapText="1"/>
      <protection/>
    </xf>
    <xf numFmtId="0" fontId="5" fillId="0" borderId="10" xfId="58" applyFont="1" applyBorder="1" applyAlignment="1" applyProtection="1" quotePrefix="1">
      <alignment horizontal="left" vertical="center" indent="1"/>
      <protection hidden="1"/>
    </xf>
    <xf numFmtId="0" fontId="5" fillId="0" borderId="10" xfId="58" applyFont="1" applyBorder="1" applyAlignment="1" applyProtection="1">
      <alignment horizontal="left" vertical="center" indent="1"/>
      <protection hidden="1"/>
    </xf>
    <xf numFmtId="0" fontId="7" fillId="0" borderId="10" xfId="58" applyFont="1" applyBorder="1" applyProtection="1">
      <alignment/>
      <protection hidden="1"/>
    </xf>
    <xf numFmtId="0" fontId="7" fillId="0" borderId="10" xfId="58" applyFont="1" applyBorder="1" applyAlignment="1" applyProtection="1">
      <alignment/>
      <protection hidden="1"/>
    </xf>
    <xf numFmtId="3" fontId="7" fillId="0" borderId="10" xfId="58" applyNumberFormat="1" applyFont="1" applyBorder="1" applyAlignment="1" applyProtection="1">
      <alignment/>
      <protection hidden="1"/>
    </xf>
    <xf numFmtId="0" fontId="6" fillId="0" borderId="17" xfId="58" applyFont="1" applyBorder="1" applyAlignment="1" applyProtection="1">
      <alignment horizontal="right" vertical="center"/>
      <protection hidden="1"/>
    </xf>
    <xf numFmtId="0" fontId="6" fillId="0" borderId="17" xfId="0" applyFont="1" applyBorder="1" applyAlignment="1">
      <alignment horizontal="left" vertical="center" wrapText="1"/>
    </xf>
    <xf numFmtId="3" fontId="6" fillId="0" borderId="17" xfId="58" applyNumberFormat="1" applyFont="1" applyBorder="1" applyAlignment="1" applyProtection="1">
      <alignment horizontal="right" vertical="center"/>
      <protection locked="0"/>
    </xf>
    <xf numFmtId="0" fontId="5" fillId="0" borderId="16" xfId="58" applyFont="1" applyBorder="1" applyAlignment="1" applyProtection="1">
      <alignment horizontal="right" vertical="center"/>
      <protection hidden="1"/>
    </xf>
    <xf numFmtId="0" fontId="5" fillId="0" borderId="16" xfId="0" applyFont="1" applyBorder="1" applyAlignment="1">
      <alignment vertical="center" wrapText="1"/>
    </xf>
    <xf numFmtId="0" fontId="5" fillId="0" borderId="17" xfId="58" applyFont="1" applyBorder="1" applyAlignment="1" applyProtection="1">
      <alignment horizontal="right" vertical="center"/>
      <protection hidden="1"/>
    </xf>
    <xf numFmtId="0" fontId="5" fillId="0" borderId="16" xfId="58" applyFont="1" applyBorder="1" applyAlignment="1" applyProtection="1">
      <alignment vertical="center" wrapText="1"/>
      <protection hidden="1"/>
    </xf>
    <xf numFmtId="0" fontId="5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1" xfId="58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7" xfId="58" applyFont="1" applyBorder="1" applyAlignment="1" applyProtection="1">
      <alignment vertical="center" wrapText="1"/>
      <protection hidden="1"/>
    </xf>
    <xf numFmtId="0" fontId="5" fillId="0" borderId="10" xfId="58" applyFont="1" applyBorder="1" applyAlignment="1" applyProtection="1">
      <alignment vertical="center" wrapText="1"/>
      <protection hidden="1"/>
    </xf>
    <xf numFmtId="0" fontId="5" fillId="0" borderId="10" xfId="58" applyFont="1" applyBorder="1" applyAlignment="1" applyProtection="1" quotePrefix="1">
      <alignment horizontal="left" vertical="center" indent="2"/>
      <protection hidden="1"/>
    </xf>
    <xf numFmtId="0" fontId="5" fillId="0" borderId="16" xfId="58" applyFont="1" applyBorder="1" applyAlignment="1" applyProtection="1">
      <alignment vertical="center" wrapText="1"/>
      <protection hidden="1"/>
    </xf>
    <xf numFmtId="0" fontId="5" fillId="0" borderId="10" xfId="58" applyFont="1" applyBorder="1" applyAlignment="1" applyProtection="1">
      <alignment horizontal="left" vertical="center" wrapText="1" indent="2"/>
      <protection hidden="1"/>
    </xf>
    <xf numFmtId="3" fontId="5" fillId="0" borderId="0" xfId="61" applyNumberFormat="1" applyFont="1" applyAlignment="1">
      <alignment horizontal="right"/>
      <protection/>
    </xf>
    <xf numFmtId="3" fontId="6" fillId="0" borderId="10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5" fillId="0" borderId="10" xfId="58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16" fillId="0" borderId="13" xfId="61" applyFont="1" applyBorder="1" applyAlignment="1" quotePrefix="1">
      <alignment vertical="center"/>
      <protection/>
    </xf>
    <xf numFmtId="3" fontId="16" fillId="0" borderId="10" xfId="61" applyNumberFormat="1" applyFont="1" applyFill="1" applyBorder="1" applyAlignment="1">
      <alignment horizontal="right" vertical="center"/>
      <protection/>
    </xf>
    <xf numFmtId="0" fontId="8" fillId="0" borderId="0" xfId="63" applyAlignment="1">
      <alignment vertical="center"/>
      <protection/>
    </xf>
    <xf numFmtId="0" fontId="5" fillId="0" borderId="0" xfId="61" applyFont="1" applyAlignment="1">
      <alignment vertical="center"/>
      <protection/>
    </xf>
    <xf numFmtId="3" fontId="16" fillId="0" borderId="11" xfId="61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vertical="center"/>
    </xf>
    <xf numFmtId="3" fontId="5" fillId="0" borderId="14" xfId="58" applyNumberFormat="1" applyFont="1" applyBorder="1" applyAlignment="1" applyProtection="1">
      <alignment horizontal="right" vertical="center"/>
      <protection locked="0"/>
    </xf>
    <xf numFmtId="3" fontId="5" fillId="0" borderId="18" xfId="58" applyNumberFormat="1" applyFont="1" applyBorder="1" applyAlignment="1" applyProtection="1">
      <alignment horizontal="right" vertical="center"/>
      <protection locked="0"/>
    </xf>
    <xf numFmtId="0" fontId="30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7" fillId="0" borderId="16" xfId="0" applyFont="1" applyBorder="1" applyAlignment="1">
      <alignment horizontal="right" vertical="center"/>
    </xf>
    <xf numFmtId="0" fontId="5" fillId="0" borderId="14" xfId="58" applyFont="1" applyBorder="1" applyAlignment="1" applyProtection="1">
      <alignment vertical="center" wrapText="1"/>
      <protection hidden="1"/>
    </xf>
    <xf numFmtId="0" fontId="5" fillId="0" borderId="18" xfId="0" applyFont="1" applyBorder="1" applyAlignment="1">
      <alignment wrapText="1"/>
    </xf>
    <xf numFmtId="3" fontId="5" fillId="0" borderId="19" xfId="58" applyNumberFormat="1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4" xfId="58" applyFont="1" applyBorder="1" applyAlignment="1" applyProtection="1">
      <alignment vertical="center" wrapText="1"/>
      <protection hidden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Continuous" vertical="center"/>
    </xf>
    <xf numFmtId="0" fontId="16" fillId="0" borderId="13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16" fillId="0" borderId="10" xfId="0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182" fontId="6" fillId="0" borderId="10" xfId="0" applyNumberFormat="1" applyFont="1" applyBorder="1" applyAlignment="1">
      <alignment horizontal="right" vertical="center" wrapText="1"/>
    </xf>
    <xf numFmtId="0" fontId="5" fillId="0" borderId="17" xfId="0" applyFont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3" fontId="14" fillId="0" borderId="10" xfId="61" applyNumberFormat="1" applyFont="1" applyBorder="1" applyAlignment="1">
      <alignment vertical="center" wrapText="1"/>
      <protection/>
    </xf>
    <xf numFmtId="0" fontId="34" fillId="0" borderId="0" xfId="0" applyFont="1" applyAlignment="1">
      <alignment horizontal="center" vertical="center"/>
    </xf>
    <xf numFmtId="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3" fontId="29" fillId="0" borderId="16" xfId="0" applyNumberFormat="1" applyFont="1" applyBorder="1" applyAlignment="1">
      <alignment vertical="center"/>
    </xf>
    <xf numFmtId="0" fontId="29" fillId="0" borderId="10" xfId="0" applyFont="1" applyBorder="1" applyAlignment="1" quotePrefix="1">
      <alignment vertical="center" wrapText="1"/>
    </xf>
    <xf numFmtId="3" fontId="38" fillId="0" borderId="10" xfId="61" applyNumberFormat="1" applyFont="1" applyBorder="1" applyAlignment="1" applyProtection="1">
      <alignment horizontal="right" vertical="center"/>
      <protection locked="0"/>
    </xf>
    <xf numFmtId="3" fontId="29" fillId="0" borderId="0" xfId="0" applyNumberFormat="1" applyFont="1" applyAlignment="1">
      <alignment vertical="center"/>
    </xf>
    <xf numFmtId="3" fontId="5" fillId="0" borderId="19" xfId="58" applyNumberFormat="1" applyFont="1" applyBorder="1" applyAlignment="1" applyProtection="1">
      <alignment horizontal="right" vertical="center"/>
      <protection locked="0"/>
    </xf>
    <xf numFmtId="0" fontId="29" fillId="0" borderId="0" xfId="56" applyFont="1">
      <alignment/>
      <protection/>
    </xf>
    <xf numFmtId="0" fontId="41" fillId="0" borderId="0" xfId="56" applyFont="1">
      <alignment/>
      <protection/>
    </xf>
    <xf numFmtId="0" fontId="29" fillId="0" borderId="0" xfId="59" applyFont="1" applyBorder="1" applyAlignment="1" applyProtection="1">
      <alignment horizontal="centerContinuous" vertical="center" wrapText="1"/>
      <protection hidden="1"/>
    </xf>
    <xf numFmtId="0" fontId="40" fillId="0" borderId="0" xfId="59" applyFont="1" applyBorder="1" applyAlignment="1" applyProtection="1">
      <alignment horizontal="centerContinuous" vertical="center" wrapText="1"/>
      <protection hidden="1"/>
    </xf>
    <xf numFmtId="3" fontId="40" fillId="0" borderId="0" xfId="59" applyNumberFormat="1" applyFont="1" applyAlignment="1" applyProtection="1">
      <alignment horizontal="centerContinuous" vertical="center" wrapText="1"/>
      <protection hidden="1"/>
    </xf>
    <xf numFmtId="0" fontId="43" fillId="0" borderId="0" xfId="59" applyFont="1" applyBorder="1" applyAlignment="1" applyProtection="1">
      <alignment horizontal="centerContinuous" vertical="center" wrapText="1"/>
      <protection hidden="1"/>
    </xf>
    <xf numFmtId="3" fontId="30" fillId="0" borderId="0" xfId="59" applyNumberFormat="1" applyFont="1" applyAlignment="1" applyProtection="1">
      <alignment horizontal="centerContinuous" vertical="center" wrapText="1"/>
      <protection hidden="1"/>
    </xf>
    <xf numFmtId="3" fontId="44" fillId="0" borderId="20" xfId="60" applyNumberFormat="1" applyFont="1" applyBorder="1" applyAlignment="1">
      <alignment horizontal="left" vertical="center"/>
      <protection/>
    </xf>
    <xf numFmtId="0" fontId="29" fillId="0" borderId="10" xfId="59" applyFont="1" applyBorder="1" applyAlignment="1">
      <alignment horizontal="center"/>
      <protection/>
    </xf>
    <xf numFmtId="0" fontId="30" fillId="0" borderId="13" xfId="59" applyFont="1" applyBorder="1" applyAlignment="1">
      <alignment horizontal="left"/>
      <protection/>
    </xf>
    <xf numFmtId="3" fontId="29" fillId="0" borderId="10" xfId="59" applyNumberFormat="1" applyFont="1" applyBorder="1" applyAlignment="1">
      <alignment horizontal="center" vertical="center" wrapText="1"/>
      <protection/>
    </xf>
    <xf numFmtId="0" fontId="29" fillId="0" borderId="10" xfId="59" applyFont="1" applyBorder="1" applyAlignment="1" applyProtection="1">
      <alignment horizontal="right" vertical="center"/>
      <protection hidden="1"/>
    </xf>
    <xf numFmtId="0" fontId="29" fillId="0" borderId="13" xfId="59" applyFont="1" applyBorder="1" applyAlignment="1" applyProtection="1">
      <alignment vertical="center" wrapText="1"/>
      <protection hidden="1"/>
    </xf>
    <xf numFmtId="3" fontId="29" fillId="0" borderId="10" xfId="59" applyNumberFormat="1" applyFont="1" applyBorder="1" applyAlignment="1" applyProtection="1">
      <alignment horizontal="right" vertical="center"/>
      <protection hidden="1"/>
    </xf>
    <xf numFmtId="0" fontId="29" fillId="0" borderId="10" xfId="59" applyFont="1" applyBorder="1" applyAlignment="1" applyProtection="1">
      <alignment horizontal="right"/>
      <protection hidden="1"/>
    </xf>
    <xf numFmtId="0" fontId="29" fillId="0" borderId="13" xfId="59" applyFont="1" applyBorder="1" applyAlignment="1" applyProtection="1">
      <alignment wrapText="1"/>
      <protection hidden="1"/>
    </xf>
    <xf numFmtId="0" fontId="29" fillId="0" borderId="13" xfId="59" applyFont="1" applyBorder="1" applyAlignment="1" applyProtection="1" quotePrefix="1">
      <alignment wrapText="1"/>
      <protection hidden="1"/>
    </xf>
    <xf numFmtId="0" fontId="29" fillId="0" borderId="13" xfId="62" applyFont="1" applyBorder="1" applyAlignment="1">
      <alignment wrapText="1"/>
      <protection/>
    </xf>
    <xf numFmtId="0" fontId="29" fillId="0" borderId="13" xfId="62" applyFont="1" applyBorder="1" applyAlignment="1" quotePrefix="1">
      <alignment wrapText="1"/>
      <protection/>
    </xf>
    <xf numFmtId="0" fontId="29" fillId="0" borderId="10" xfId="62" applyFont="1" applyBorder="1" applyAlignment="1">
      <alignment horizontal="right"/>
      <protection/>
    </xf>
    <xf numFmtId="0" fontId="39" fillId="0" borderId="10" xfId="62" applyFont="1" applyBorder="1" applyAlignment="1">
      <alignment horizontal="right"/>
      <protection/>
    </xf>
    <xf numFmtId="0" fontId="39" fillId="0" borderId="13" xfId="59" applyFont="1" applyBorder="1" applyAlignment="1" applyProtection="1">
      <alignment vertical="center" wrapText="1"/>
      <protection hidden="1"/>
    </xf>
    <xf numFmtId="3" fontId="39" fillId="0" borderId="10" xfId="59" applyNumberFormat="1" applyFont="1" applyBorder="1" applyAlignment="1" applyProtection="1">
      <alignment horizontal="right" vertical="center"/>
      <protection hidden="1"/>
    </xf>
    <xf numFmtId="0" fontId="29" fillId="0" borderId="13" xfId="59" applyFont="1" applyBorder="1" applyAlignment="1" applyProtection="1" quotePrefix="1">
      <alignment vertical="center" wrapText="1"/>
      <protection hidden="1"/>
    </xf>
    <xf numFmtId="0" fontId="39" fillId="0" borderId="10" xfId="59" applyFont="1" applyBorder="1" applyAlignment="1" applyProtection="1">
      <alignment horizontal="right" vertical="center"/>
      <protection hidden="1"/>
    </xf>
    <xf numFmtId="0" fontId="44" fillId="0" borderId="10" xfId="59" applyFont="1" applyBorder="1" applyAlignment="1" applyProtection="1" quotePrefix="1">
      <alignment horizontal="right" vertical="center"/>
      <protection hidden="1"/>
    </xf>
    <xf numFmtId="0" fontId="44" fillId="0" borderId="13" xfId="59" applyFont="1" applyBorder="1" applyAlignment="1" applyProtection="1">
      <alignment vertical="center" wrapText="1"/>
      <protection hidden="1"/>
    </xf>
    <xf numFmtId="3" fontId="44" fillId="0" borderId="10" xfId="59" applyNumberFormat="1" applyFont="1" applyBorder="1" applyAlignment="1" applyProtection="1">
      <alignment horizontal="right" vertical="center"/>
      <protection hidden="1"/>
    </xf>
    <xf numFmtId="0" fontId="29" fillId="0" borderId="10" xfId="59" applyFont="1" applyBorder="1" applyAlignment="1" applyProtection="1" quotePrefix="1">
      <alignment vertical="center"/>
      <protection hidden="1"/>
    </xf>
    <xf numFmtId="0" fontId="30" fillId="0" borderId="12" xfId="59" applyFont="1" applyBorder="1" applyAlignment="1" applyProtection="1">
      <alignment vertical="center"/>
      <protection hidden="1"/>
    </xf>
    <xf numFmtId="0" fontId="29" fillId="0" borderId="12" xfId="59" applyFont="1" applyBorder="1" applyAlignment="1" applyProtection="1">
      <alignment vertical="center"/>
      <protection hidden="1"/>
    </xf>
    <xf numFmtId="0" fontId="29" fillId="0" borderId="12" xfId="59" applyFont="1" applyBorder="1" applyAlignment="1" applyProtection="1">
      <alignment vertical="center" wrapText="1"/>
      <protection hidden="1"/>
    </xf>
    <xf numFmtId="0" fontId="44" fillId="0" borderId="10" xfId="59" applyFont="1" applyBorder="1" applyAlignment="1" applyProtection="1">
      <alignment vertical="center"/>
      <protection hidden="1"/>
    </xf>
    <xf numFmtId="0" fontId="44" fillId="0" borderId="12" xfId="59" applyFont="1" applyBorder="1" applyAlignment="1" applyProtection="1">
      <alignment vertical="center"/>
      <protection hidden="1"/>
    </xf>
    <xf numFmtId="0" fontId="44" fillId="0" borderId="0" xfId="59" applyFont="1" applyBorder="1" applyAlignment="1" applyProtection="1">
      <alignment vertical="center"/>
      <protection hidden="1"/>
    </xf>
    <xf numFmtId="3" fontId="44" fillId="0" borderId="0" xfId="59" applyNumberFormat="1" applyFont="1" applyBorder="1" applyAlignment="1" applyProtection="1">
      <alignment horizontal="right" vertical="center"/>
      <protection hidden="1"/>
    </xf>
    <xf numFmtId="0" fontId="0" fillId="0" borderId="0" xfId="56">
      <alignment/>
      <protection/>
    </xf>
    <xf numFmtId="0" fontId="46" fillId="0" borderId="0" xfId="56" applyFont="1">
      <alignment/>
      <protection/>
    </xf>
    <xf numFmtId="0" fontId="45" fillId="0" borderId="0" xfId="59" applyFont="1" applyBorder="1" applyAlignment="1" applyProtection="1">
      <alignment horizontal="centerContinuous" vertical="center" wrapText="1"/>
      <protection hidden="1"/>
    </xf>
    <xf numFmtId="3" fontId="45" fillId="0" borderId="0" xfId="59" applyNumberFormat="1" applyFont="1" applyAlignment="1" applyProtection="1">
      <alignment horizontal="centerContinuous" vertical="center" wrapText="1"/>
      <protection hidden="1"/>
    </xf>
    <xf numFmtId="0" fontId="11" fillId="0" borderId="0" xfId="59" applyFont="1" applyBorder="1" applyAlignment="1" applyProtection="1">
      <alignment horizontal="centerContinuous" vertical="center" wrapText="1"/>
      <protection hidden="1"/>
    </xf>
    <xf numFmtId="3" fontId="6" fillId="0" borderId="0" xfId="59" applyNumberFormat="1" applyFont="1" applyAlignment="1" applyProtection="1">
      <alignment horizontal="centerContinuous" vertical="center" wrapText="1"/>
      <protection hidden="1"/>
    </xf>
    <xf numFmtId="3" fontId="12" fillId="0" borderId="20" xfId="60" applyNumberFormat="1" applyFont="1" applyBorder="1" applyAlignment="1">
      <alignment horizontal="left" vertical="center"/>
      <protection/>
    </xf>
    <xf numFmtId="0" fontId="5" fillId="0" borderId="10" xfId="59" applyFont="1" applyBorder="1" applyAlignment="1">
      <alignment horizontal="center"/>
      <protection/>
    </xf>
    <xf numFmtId="0" fontId="6" fillId="0" borderId="13" xfId="59" applyFont="1" applyBorder="1" applyAlignment="1">
      <alignment horizontal="left"/>
      <protection/>
    </xf>
    <xf numFmtId="0" fontId="5" fillId="0" borderId="10" xfId="59" applyFont="1" applyBorder="1" applyAlignment="1" applyProtection="1">
      <alignment horizontal="right" vertical="center"/>
      <protection hidden="1"/>
    </xf>
    <xf numFmtId="0" fontId="5" fillId="0" borderId="13" xfId="59" applyFont="1" applyBorder="1" applyAlignment="1" applyProtection="1">
      <alignment vertical="center" wrapText="1"/>
      <protection hidden="1"/>
    </xf>
    <xf numFmtId="0" fontId="5" fillId="0" borderId="10" xfId="59" applyFont="1" applyBorder="1" applyAlignment="1" applyProtection="1">
      <alignment horizontal="right"/>
      <protection hidden="1"/>
    </xf>
    <xf numFmtId="0" fontId="5" fillId="0" borderId="13" xfId="59" applyFont="1" applyBorder="1" applyAlignment="1" applyProtection="1">
      <alignment wrapText="1"/>
      <protection hidden="1"/>
    </xf>
    <xf numFmtId="0" fontId="5" fillId="0" borderId="13" xfId="59" applyFont="1" applyBorder="1" applyAlignment="1" applyProtection="1" quotePrefix="1">
      <alignment wrapText="1"/>
      <protection hidden="1"/>
    </xf>
    <xf numFmtId="0" fontId="5" fillId="0" borderId="13" xfId="62" applyFont="1" applyBorder="1" applyAlignment="1">
      <alignment wrapText="1"/>
      <protection/>
    </xf>
    <xf numFmtId="0" fontId="5" fillId="0" borderId="13" xfId="62" applyFont="1" applyBorder="1" applyAlignment="1" quotePrefix="1">
      <alignment wrapText="1"/>
      <protection/>
    </xf>
    <xf numFmtId="0" fontId="5" fillId="0" borderId="10" xfId="62" applyFont="1" applyBorder="1" applyAlignment="1">
      <alignment horizontal="right"/>
      <protection/>
    </xf>
    <xf numFmtId="0" fontId="7" fillId="0" borderId="10" xfId="62" applyFont="1" applyBorder="1" applyAlignment="1">
      <alignment horizontal="right"/>
      <protection/>
    </xf>
    <xf numFmtId="0" fontId="7" fillId="0" borderId="13" xfId="59" applyFont="1" applyBorder="1" applyAlignment="1" applyProtection="1">
      <alignment vertical="center" wrapText="1"/>
      <protection hidden="1"/>
    </xf>
    <xf numFmtId="0" fontId="5" fillId="0" borderId="13" xfId="59" applyFont="1" applyBorder="1" applyAlignment="1" applyProtection="1" quotePrefix="1">
      <alignment vertical="center" wrapText="1"/>
      <protection hidden="1"/>
    </xf>
    <xf numFmtId="0" fontId="7" fillId="0" borderId="10" xfId="59" applyFont="1" applyBorder="1" applyAlignment="1" applyProtection="1">
      <alignment horizontal="right" vertical="center"/>
      <protection hidden="1"/>
    </xf>
    <xf numFmtId="0" fontId="12" fillId="0" borderId="10" xfId="59" applyFont="1" applyBorder="1" applyAlignment="1" applyProtection="1" quotePrefix="1">
      <alignment horizontal="right" vertical="center"/>
      <protection hidden="1"/>
    </xf>
    <xf numFmtId="0" fontId="12" fillId="0" borderId="13" xfId="59" applyFont="1" applyBorder="1" applyAlignment="1" applyProtection="1">
      <alignment vertical="center" wrapText="1"/>
      <protection hidden="1"/>
    </xf>
    <xf numFmtId="0" fontId="5" fillId="0" borderId="10" xfId="59" applyFont="1" applyBorder="1" applyAlignment="1" applyProtection="1" quotePrefix="1">
      <alignment vertical="center"/>
      <protection hidden="1"/>
    </xf>
    <xf numFmtId="0" fontId="6" fillId="0" borderId="12" xfId="59" applyFont="1" applyBorder="1" applyAlignment="1" applyProtection="1">
      <alignment vertical="center"/>
      <protection hidden="1"/>
    </xf>
    <xf numFmtId="0" fontId="5" fillId="0" borderId="12" xfId="59" applyFont="1" applyBorder="1" applyAlignment="1" applyProtection="1">
      <alignment vertical="center"/>
      <protection hidden="1"/>
    </xf>
    <xf numFmtId="0" fontId="5" fillId="0" borderId="12" xfId="59" applyFont="1" applyBorder="1" applyAlignment="1" applyProtection="1">
      <alignment vertical="center" wrapText="1"/>
      <protection hidden="1"/>
    </xf>
    <xf numFmtId="0" fontId="12" fillId="0" borderId="10" xfId="59" applyFont="1" applyBorder="1" applyAlignment="1" applyProtection="1">
      <alignment vertical="center"/>
      <protection hidden="1"/>
    </xf>
    <xf numFmtId="0" fontId="12" fillId="0" borderId="0" xfId="59" applyFont="1" applyBorder="1" applyAlignment="1" applyProtection="1">
      <alignment vertical="center"/>
      <protection hidden="1"/>
    </xf>
    <xf numFmtId="3" fontId="12" fillId="0" borderId="0" xfId="59" applyNumberFormat="1" applyFont="1" applyBorder="1" applyAlignment="1" applyProtection="1">
      <alignment horizontal="right" vertical="center"/>
      <protection hidden="1"/>
    </xf>
    <xf numFmtId="0" fontId="35" fillId="0" borderId="0" xfId="63" applyFont="1" applyAlignment="1">
      <alignment vertical="center"/>
      <protection/>
    </xf>
    <xf numFmtId="0" fontId="51" fillId="0" borderId="0" xfId="56" applyFont="1">
      <alignment/>
      <protection/>
    </xf>
    <xf numFmtId="0" fontId="52" fillId="0" borderId="0" xfId="56" applyFont="1">
      <alignment/>
      <protection/>
    </xf>
    <xf numFmtId="0" fontId="29" fillId="0" borderId="17" xfId="0" applyFont="1" applyBorder="1" applyAlignment="1">
      <alignment horizontal="right" vertical="center"/>
    </xf>
    <xf numFmtId="3" fontId="36" fillId="0" borderId="0" xfId="0" applyNumberFormat="1" applyFont="1" applyAlignment="1">
      <alignment vertical="center"/>
    </xf>
    <xf numFmtId="0" fontId="29" fillId="0" borderId="17" xfId="0" applyFont="1" applyBorder="1" applyAlignment="1">
      <alignment vertical="center" wrapText="1"/>
    </xf>
    <xf numFmtId="0" fontId="29" fillId="0" borderId="11" xfId="58" applyFont="1" applyBorder="1" applyAlignment="1" applyProtection="1">
      <alignment vertical="center"/>
      <protection hidden="1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0" fontId="29" fillId="0" borderId="10" xfId="56" applyFont="1" applyBorder="1" applyAlignment="1" quotePrefix="1">
      <alignment vertical="center" wrapText="1"/>
      <protection/>
    </xf>
    <xf numFmtId="3" fontId="29" fillId="0" borderId="17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39" fillId="0" borderId="16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16" xfId="0" applyFont="1" applyBorder="1" applyAlignment="1">
      <alignment vertical="center" wrapText="1"/>
    </xf>
    <xf numFmtId="3" fontId="29" fillId="0" borderId="16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6" fillId="0" borderId="17" xfId="58" applyNumberFormat="1" applyFont="1" applyBorder="1" applyAlignment="1" applyProtection="1">
      <alignment horizontal="right" vertical="center"/>
      <protection hidden="1"/>
    </xf>
    <xf numFmtId="0" fontId="5" fillId="0" borderId="0" xfId="61" applyFont="1" applyBorder="1" applyAlignment="1">
      <alignment vertical="center"/>
      <protection/>
    </xf>
    <xf numFmtId="3" fontId="5" fillId="0" borderId="0" xfId="61" applyNumberFormat="1" applyFont="1" applyAlignment="1">
      <alignment vertical="center"/>
      <protection/>
    </xf>
    <xf numFmtId="3" fontId="5" fillId="0" borderId="0" xfId="61" applyNumberFormat="1" applyFont="1" applyAlignment="1">
      <alignment horizontal="right" vertical="center"/>
      <protection/>
    </xf>
    <xf numFmtId="3" fontId="9" fillId="0" borderId="0" xfId="61" applyNumberFormat="1" applyFont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10" xfId="61" applyFont="1" applyBorder="1" applyAlignment="1">
      <alignment horizontal="right" vertical="center"/>
      <protection/>
    </xf>
    <xf numFmtId="0" fontId="14" fillId="0" borderId="20" xfId="61" applyFont="1" applyBorder="1" applyAlignment="1">
      <alignment vertical="center"/>
      <protection/>
    </xf>
    <xf numFmtId="0" fontId="14" fillId="0" borderId="21" xfId="61" applyFont="1" applyBorder="1" applyAlignment="1">
      <alignment vertical="center"/>
      <protection/>
    </xf>
    <xf numFmtId="3" fontId="15" fillId="0" borderId="16" xfId="61" applyNumberFormat="1" applyFont="1" applyFill="1" applyBorder="1" applyAlignment="1">
      <alignment horizontal="right" vertical="center"/>
      <protection/>
    </xf>
    <xf numFmtId="3" fontId="15" fillId="0" borderId="18" xfId="61" applyNumberFormat="1" applyFont="1" applyFill="1" applyBorder="1" applyAlignment="1">
      <alignment horizontal="right" vertical="center"/>
      <protection/>
    </xf>
    <xf numFmtId="3" fontId="14" fillId="0" borderId="12" xfId="61" applyNumberFormat="1" applyFont="1" applyFill="1" applyBorder="1" applyAlignment="1">
      <alignment horizontal="right" vertical="center"/>
      <protection/>
    </xf>
    <xf numFmtId="3" fontId="14" fillId="0" borderId="12" xfId="61" applyNumberFormat="1" applyFont="1" applyFill="1" applyBorder="1" applyAlignment="1">
      <alignment horizontal="right" vertical="center"/>
      <protection/>
    </xf>
    <xf numFmtId="3" fontId="14" fillId="0" borderId="10" xfId="61" applyNumberFormat="1" applyFont="1" applyFill="1" applyBorder="1" applyAlignment="1">
      <alignment horizontal="right" vertical="center"/>
      <protection/>
    </xf>
    <xf numFmtId="0" fontId="37" fillId="0" borderId="0" xfId="63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3" fontId="17" fillId="0" borderId="10" xfId="61" applyNumberFormat="1" applyFont="1" applyFill="1" applyBorder="1" applyAlignment="1">
      <alignment horizontal="right" vertical="center"/>
      <protection/>
    </xf>
    <xf numFmtId="3" fontId="17" fillId="0" borderId="10" xfId="61" applyNumberFormat="1" applyFont="1" applyFill="1" applyBorder="1" applyAlignment="1" applyProtection="1">
      <alignment horizontal="right" vertical="center"/>
      <protection locked="0"/>
    </xf>
    <xf numFmtId="3" fontId="17" fillId="0" borderId="12" xfId="61" applyNumberFormat="1" applyFont="1" applyFill="1" applyBorder="1" applyAlignment="1" applyProtection="1">
      <alignment horizontal="right" vertical="center"/>
      <protection locked="0"/>
    </xf>
    <xf numFmtId="0" fontId="49" fillId="0" borderId="0" xfId="63" applyFont="1" applyAlignment="1">
      <alignment vertical="center"/>
      <protection/>
    </xf>
    <xf numFmtId="3" fontId="16" fillId="0" borderId="12" xfId="61" applyNumberFormat="1" applyFont="1" applyFill="1" applyBorder="1" applyAlignment="1">
      <alignment horizontal="right" vertical="center"/>
      <protection/>
    </xf>
    <xf numFmtId="3" fontId="14" fillId="0" borderId="10" xfId="61" applyNumberFormat="1" applyFont="1" applyFill="1" applyBorder="1" applyAlignment="1">
      <alignment horizontal="right" vertical="center"/>
      <protection/>
    </xf>
    <xf numFmtId="0" fontId="50" fillId="0" borderId="0" xfId="63" applyFont="1" applyAlignment="1">
      <alignment vertical="center"/>
      <protection/>
    </xf>
    <xf numFmtId="0" fontId="16" fillId="0" borderId="15" xfId="61" applyFont="1" applyBorder="1" applyAlignment="1" quotePrefix="1">
      <alignment vertical="center"/>
      <protection/>
    </xf>
    <xf numFmtId="0" fontId="14" fillId="0" borderId="13" xfId="61" applyFont="1" applyBorder="1" applyAlignment="1">
      <alignment vertical="center"/>
      <protection/>
    </xf>
    <xf numFmtId="0" fontId="14" fillId="0" borderId="11" xfId="61" applyFont="1" applyBorder="1" applyAlignment="1" quotePrefix="1">
      <alignment vertical="center"/>
      <protection/>
    </xf>
    <xf numFmtId="3" fontId="15" fillId="0" borderId="10" xfId="61" applyNumberFormat="1" applyFont="1" applyFill="1" applyBorder="1" applyAlignment="1">
      <alignment vertical="center"/>
      <protection/>
    </xf>
    <xf numFmtId="3" fontId="15" fillId="0" borderId="12" xfId="61" applyNumberFormat="1" applyFont="1" applyFill="1" applyBorder="1" applyAlignment="1">
      <alignment vertical="center"/>
      <protection/>
    </xf>
    <xf numFmtId="3" fontId="14" fillId="0" borderId="12" xfId="61" applyNumberFormat="1" applyFont="1" applyFill="1" applyBorder="1" applyAlignment="1">
      <alignment vertical="center"/>
      <protection/>
    </xf>
    <xf numFmtId="3" fontId="14" fillId="0" borderId="12" xfId="61" applyNumberFormat="1" applyFont="1" applyFill="1" applyBorder="1" applyAlignment="1">
      <alignment vertical="center"/>
      <protection/>
    </xf>
    <xf numFmtId="3" fontId="17" fillId="0" borderId="10" xfId="61" applyNumberFormat="1" applyFont="1" applyFill="1" applyBorder="1" applyAlignment="1">
      <alignment vertical="center"/>
      <protection/>
    </xf>
    <xf numFmtId="3" fontId="17" fillId="0" borderId="12" xfId="61" applyNumberFormat="1" applyFont="1" applyFill="1" applyBorder="1" applyAlignment="1">
      <alignment vertical="center"/>
      <protection/>
    </xf>
    <xf numFmtId="0" fontId="14" fillId="0" borderId="11" xfId="61" applyFont="1" applyBorder="1" applyAlignment="1">
      <alignment vertical="center"/>
      <protection/>
    </xf>
    <xf numFmtId="3" fontId="15" fillId="0" borderId="10" xfId="61" applyNumberFormat="1" applyFont="1" applyFill="1" applyBorder="1" applyAlignment="1">
      <alignment horizontal="right" vertical="center"/>
      <protection/>
    </xf>
    <xf numFmtId="3" fontId="15" fillId="0" borderId="12" xfId="61" applyNumberFormat="1" applyFont="1" applyFill="1" applyBorder="1" applyAlignment="1">
      <alignment horizontal="right" vertical="center"/>
      <protection/>
    </xf>
    <xf numFmtId="3" fontId="17" fillId="0" borderId="17" xfId="61" applyNumberFormat="1" applyFont="1" applyFill="1" applyBorder="1" applyAlignment="1">
      <alignment horizontal="right" vertical="center"/>
      <protection/>
    </xf>
    <xf numFmtId="3" fontId="17" fillId="0" borderId="17" xfId="61" applyNumberFormat="1" applyFont="1" applyFill="1" applyBorder="1" applyAlignment="1" applyProtection="1">
      <alignment horizontal="right" vertical="center"/>
      <protection locked="0"/>
    </xf>
    <xf numFmtId="3" fontId="17" fillId="0" borderId="14" xfId="61" applyNumberFormat="1" applyFont="1" applyFill="1" applyBorder="1" applyAlignment="1" applyProtection="1">
      <alignment horizontal="right" vertical="center"/>
      <protection locked="0"/>
    </xf>
    <xf numFmtId="0" fontId="14" fillId="0" borderId="15" xfId="61" applyFont="1" applyBorder="1" applyAlignment="1">
      <alignment vertical="center"/>
      <protection/>
    </xf>
    <xf numFmtId="0" fontId="14" fillId="0" borderId="22" xfId="61" applyFont="1" applyBorder="1" applyAlignment="1">
      <alignment vertical="center"/>
      <protection/>
    </xf>
    <xf numFmtId="3" fontId="15" fillId="0" borderId="17" xfId="61" applyNumberFormat="1" applyFont="1" applyFill="1" applyBorder="1" applyAlignment="1">
      <alignment vertical="center"/>
      <protection/>
    </xf>
    <xf numFmtId="3" fontId="15" fillId="0" borderId="14" xfId="61" applyNumberFormat="1" applyFont="1" applyFill="1" applyBorder="1" applyAlignment="1">
      <alignment vertical="center"/>
      <protection/>
    </xf>
    <xf numFmtId="0" fontId="16" fillId="0" borderId="14" xfId="61" applyFont="1" applyBorder="1" applyAlignment="1" quotePrefix="1">
      <alignment vertical="center"/>
      <protection/>
    </xf>
    <xf numFmtId="3" fontId="17" fillId="0" borderId="15" xfId="61" applyNumberFormat="1" applyFont="1" applyFill="1" applyBorder="1" applyAlignment="1">
      <alignment vertical="center"/>
      <protection/>
    </xf>
    <xf numFmtId="3" fontId="17" fillId="0" borderId="15" xfId="61" applyNumberFormat="1" applyFont="1" applyFill="1" applyBorder="1" applyAlignment="1" applyProtection="1">
      <alignment vertical="center"/>
      <protection locked="0"/>
    </xf>
    <xf numFmtId="3" fontId="17" fillId="0" borderId="22" xfId="61" applyNumberFormat="1" applyFont="1" applyFill="1" applyBorder="1" applyAlignment="1" applyProtection="1">
      <alignment vertical="center"/>
      <protection locked="0"/>
    </xf>
    <xf numFmtId="3" fontId="17" fillId="0" borderId="22" xfId="61" applyNumberFormat="1" applyFont="1" applyFill="1" applyBorder="1" applyAlignment="1">
      <alignment vertical="center"/>
      <protection/>
    </xf>
    <xf numFmtId="3" fontId="16" fillId="0" borderId="12" xfId="61" applyNumberFormat="1" applyFont="1" applyFill="1" applyBorder="1" applyAlignment="1" applyProtection="1">
      <alignment vertical="center"/>
      <protection locked="0"/>
    </xf>
    <xf numFmtId="3" fontId="17" fillId="0" borderId="22" xfId="61" applyNumberFormat="1" applyFont="1" applyFill="1" applyBorder="1" applyAlignment="1" quotePrefix="1">
      <alignment vertical="center"/>
      <protection/>
    </xf>
    <xf numFmtId="0" fontId="16" fillId="0" borderId="12" xfId="61" applyFont="1" applyBorder="1" applyAlignment="1" quotePrefix="1">
      <alignment vertical="center"/>
      <protection/>
    </xf>
    <xf numFmtId="3" fontId="17" fillId="0" borderId="13" xfId="61" applyNumberFormat="1" applyFont="1" applyFill="1" applyBorder="1" applyAlignment="1">
      <alignment horizontal="right" vertical="center"/>
      <protection/>
    </xf>
    <xf numFmtId="3" fontId="17" fillId="0" borderId="13" xfId="61" applyNumberFormat="1" applyFont="1" applyFill="1" applyBorder="1" applyAlignment="1" applyProtection="1">
      <alignment horizontal="right" vertical="center"/>
      <protection locked="0"/>
    </xf>
    <xf numFmtId="3" fontId="17" fillId="0" borderId="11" xfId="61" applyNumberFormat="1" applyFont="1" applyFill="1" applyBorder="1" applyAlignment="1" applyProtection="1">
      <alignment horizontal="right" vertical="center"/>
      <protection locked="0"/>
    </xf>
    <xf numFmtId="3" fontId="15" fillId="0" borderId="17" xfId="61" applyNumberFormat="1" applyFont="1" applyFill="1" applyBorder="1" applyAlignment="1">
      <alignment horizontal="right" vertical="center"/>
      <protection/>
    </xf>
    <xf numFmtId="3" fontId="15" fillId="0" borderId="14" xfId="61" applyNumberFormat="1" applyFont="1" applyFill="1" applyBorder="1" applyAlignment="1">
      <alignment horizontal="right" vertical="center"/>
      <protection/>
    </xf>
    <xf numFmtId="0" fontId="18" fillId="0" borderId="10" xfId="6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17" fillId="0" borderId="12" xfId="61" applyFont="1" applyBorder="1" applyAlignment="1" quotePrefix="1">
      <alignment vertical="center"/>
      <protection/>
    </xf>
    <xf numFmtId="0" fontId="17" fillId="0" borderId="13" xfId="61" applyFont="1" applyBorder="1" applyAlignment="1" quotePrefix="1">
      <alignment vertical="center"/>
      <protection/>
    </xf>
    <xf numFmtId="3" fontId="15" fillId="0" borderId="16" xfId="61" applyNumberFormat="1" applyFont="1" applyFill="1" applyBorder="1" applyAlignment="1">
      <alignment vertical="center"/>
      <protection/>
    </xf>
    <xf numFmtId="3" fontId="15" fillId="0" borderId="18" xfId="61" applyNumberFormat="1" applyFont="1" applyFill="1" applyBorder="1" applyAlignment="1">
      <alignment vertical="center"/>
      <protection/>
    </xf>
    <xf numFmtId="3" fontId="17" fillId="0" borderId="10" xfId="61" applyNumberFormat="1" applyFont="1" applyFill="1" applyBorder="1" applyAlignment="1" applyProtection="1">
      <alignment vertical="center"/>
      <protection locked="0"/>
    </xf>
    <xf numFmtId="3" fontId="17" fillId="0" borderId="12" xfId="61" applyNumberFormat="1" applyFont="1" applyFill="1" applyBorder="1" applyAlignment="1" applyProtection="1">
      <alignment vertical="center"/>
      <protection locked="0"/>
    </xf>
    <xf numFmtId="0" fontId="14" fillId="0" borderId="12" xfId="61" applyFont="1" applyBorder="1" applyAlignment="1">
      <alignment vertical="center"/>
      <protection/>
    </xf>
    <xf numFmtId="0" fontId="14" fillId="0" borderId="13" xfId="61" applyFont="1" applyBorder="1" applyAlignment="1" quotePrefix="1">
      <alignment vertical="center"/>
      <protection/>
    </xf>
    <xf numFmtId="3" fontId="15" fillId="0" borderId="13" xfId="61" applyNumberFormat="1" applyFont="1" applyFill="1" applyBorder="1" applyAlignment="1">
      <alignment vertical="center"/>
      <protection/>
    </xf>
    <xf numFmtId="3" fontId="15" fillId="0" borderId="13" xfId="61" applyNumberFormat="1" applyFont="1" applyFill="1" applyBorder="1" applyAlignment="1" applyProtection="1">
      <alignment vertical="center"/>
      <protection locked="0"/>
    </xf>
    <xf numFmtId="3" fontId="15" fillId="0" borderId="11" xfId="61" applyNumberFormat="1" applyFont="1" applyFill="1" applyBorder="1" applyAlignment="1" applyProtection="1">
      <alignment vertical="center"/>
      <protection locked="0"/>
    </xf>
    <xf numFmtId="3" fontId="14" fillId="0" borderId="12" xfId="61" applyNumberFormat="1" applyFont="1" applyFill="1" applyBorder="1" applyAlignment="1" applyProtection="1">
      <alignment horizontal="right" vertical="center"/>
      <protection locked="0"/>
    </xf>
    <xf numFmtId="3" fontId="14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0" xfId="61" applyFont="1" applyBorder="1" applyAlignment="1">
      <alignment vertical="center"/>
      <protection/>
    </xf>
    <xf numFmtId="3" fontId="17" fillId="0" borderId="13" xfId="61" applyNumberFormat="1" applyFont="1" applyFill="1" applyBorder="1" applyAlignment="1">
      <alignment vertical="center"/>
      <protection/>
    </xf>
    <xf numFmtId="3" fontId="17" fillId="0" borderId="13" xfId="61" applyNumberFormat="1" applyFont="1" applyFill="1" applyBorder="1" applyAlignment="1" applyProtection="1">
      <alignment vertical="center"/>
      <protection locked="0"/>
    </xf>
    <xf numFmtId="3" fontId="17" fillId="0" borderId="11" xfId="61" applyNumberFormat="1" applyFont="1" applyFill="1" applyBorder="1" applyAlignment="1" applyProtection="1">
      <alignment vertical="center"/>
      <protection locked="0"/>
    </xf>
    <xf numFmtId="0" fontId="16" fillId="0" borderId="20" xfId="61" applyFont="1" applyBorder="1" applyAlignment="1" quotePrefix="1">
      <alignment vertical="center"/>
      <protection/>
    </xf>
    <xf numFmtId="0" fontId="35" fillId="0" borderId="0" xfId="63" applyFont="1" applyBorder="1" applyAlignment="1">
      <alignment vertical="center"/>
      <protection/>
    </xf>
    <xf numFmtId="0" fontId="8" fillId="0" borderId="0" xfId="63" applyBorder="1" applyAlignment="1">
      <alignment vertical="center"/>
      <protection/>
    </xf>
    <xf numFmtId="0" fontId="49" fillId="0" borderId="0" xfId="63" applyFont="1" applyBorder="1" applyAlignment="1">
      <alignment vertical="center"/>
      <protection/>
    </xf>
    <xf numFmtId="3" fontId="15" fillId="0" borderId="10" xfId="61" applyNumberFormat="1" applyFont="1" applyBorder="1" applyAlignment="1">
      <alignment vertical="center"/>
      <protection/>
    </xf>
    <xf numFmtId="3" fontId="15" fillId="0" borderId="12" xfId="61" applyNumberFormat="1" applyFont="1" applyBorder="1" applyAlignment="1">
      <alignment vertical="center"/>
      <protection/>
    </xf>
    <xf numFmtId="3" fontId="14" fillId="0" borderId="12" xfId="61" applyNumberFormat="1" applyFont="1" applyBorder="1" applyAlignment="1">
      <alignment vertical="center"/>
      <protection/>
    </xf>
    <xf numFmtId="3" fontId="14" fillId="0" borderId="12" xfId="61" applyNumberFormat="1" applyFont="1" applyBorder="1" applyAlignment="1">
      <alignment vertical="center"/>
      <protection/>
    </xf>
    <xf numFmtId="0" fontId="16" fillId="0" borderId="13" xfId="61" applyFont="1" applyBorder="1" applyAlignment="1">
      <alignment vertical="center"/>
      <protection/>
    </xf>
    <xf numFmtId="3" fontId="17" fillId="0" borderId="10" xfId="61" applyNumberFormat="1" applyFont="1" applyBorder="1" applyAlignment="1">
      <alignment vertical="center"/>
      <protection/>
    </xf>
    <xf numFmtId="3" fontId="16" fillId="0" borderId="12" xfId="61" applyNumberFormat="1" applyFont="1" applyBorder="1" applyAlignment="1" applyProtection="1">
      <alignment horizontal="right" vertical="center"/>
      <protection locked="0"/>
    </xf>
    <xf numFmtId="3" fontId="16" fillId="0" borderId="12" xfId="61" applyNumberFormat="1" applyFont="1" applyBorder="1" applyAlignment="1">
      <alignment vertical="center"/>
      <protection/>
    </xf>
    <xf numFmtId="0" fontId="8" fillId="0" borderId="0" xfId="63" applyFont="1" applyAlignment="1">
      <alignment vertical="center"/>
      <protection/>
    </xf>
    <xf numFmtId="3" fontId="16" fillId="0" borderId="10" xfId="61" applyNumberFormat="1" applyFont="1" applyBorder="1" applyAlignment="1">
      <alignment horizontal="right" vertical="center"/>
      <protection/>
    </xf>
    <xf numFmtId="3" fontId="16" fillId="0" borderId="10" xfId="61" applyNumberFormat="1" applyFont="1" applyBorder="1" applyAlignment="1" applyProtection="1">
      <alignment horizontal="right" vertical="center"/>
      <protection locked="0"/>
    </xf>
    <xf numFmtId="3" fontId="17" fillId="0" borderId="17" xfId="61" applyNumberFormat="1" applyFont="1" applyBorder="1" applyAlignment="1">
      <alignment vertical="center"/>
      <protection/>
    </xf>
    <xf numFmtId="3" fontId="17" fillId="0" borderId="17" xfId="61" applyNumberFormat="1" applyFont="1" applyBorder="1" applyAlignment="1" applyProtection="1">
      <alignment vertical="center"/>
      <protection locked="0"/>
    </xf>
    <xf numFmtId="3" fontId="17" fillId="0" borderId="14" xfId="61" applyNumberFormat="1" applyFont="1" applyBorder="1" applyAlignment="1" applyProtection="1">
      <alignment vertical="center"/>
      <protection locked="0"/>
    </xf>
    <xf numFmtId="3" fontId="16" fillId="0" borderId="10" xfId="61" applyNumberFormat="1" applyFont="1" applyBorder="1" applyAlignment="1" applyProtection="1">
      <alignment vertical="center"/>
      <protection locked="0"/>
    </xf>
    <xf numFmtId="3" fontId="16" fillId="0" borderId="13" xfId="61" applyNumberFormat="1" applyFont="1" applyBorder="1" applyAlignment="1">
      <alignment horizontal="right" vertical="center"/>
      <protection/>
    </xf>
    <xf numFmtId="3" fontId="16" fillId="0" borderId="13" xfId="61" applyNumberFormat="1" applyFont="1" applyBorder="1" applyAlignment="1" applyProtection="1">
      <alignment horizontal="right" vertical="center"/>
      <protection locked="0"/>
    </xf>
    <xf numFmtId="0" fontId="16" fillId="0" borderId="12" xfId="63" applyFont="1" applyBorder="1" applyAlignment="1" quotePrefix="1">
      <alignment vertical="center"/>
      <protection/>
    </xf>
    <xf numFmtId="0" fontId="16" fillId="0" borderId="13" xfId="63" applyFont="1" applyBorder="1" applyAlignment="1" quotePrefix="1">
      <alignment vertical="center"/>
      <protection/>
    </xf>
    <xf numFmtId="0" fontId="14" fillId="0" borderId="21" xfId="61" applyFont="1" applyBorder="1" applyAlignment="1" quotePrefix="1">
      <alignment vertical="center"/>
      <protection/>
    </xf>
    <xf numFmtId="3" fontId="15" fillId="0" borderId="16" xfId="61" applyNumberFormat="1" applyFont="1" applyBorder="1" applyAlignment="1">
      <alignment vertical="center"/>
      <protection/>
    </xf>
    <xf numFmtId="3" fontId="15" fillId="0" borderId="18" xfId="61" applyNumberFormat="1" applyFont="1" applyBorder="1" applyAlignment="1">
      <alignment vertical="center"/>
      <protection/>
    </xf>
    <xf numFmtId="3" fontId="17" fillId="0" borderId="14" xfId="61" applyNumberFormat="1" applyFont="1" applyBorder="1" applyAlignment="1">
      <alignment vertical="center"/>
      <protection/>
    </xf>
    <xf numFmtId="0" fontId="16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3" fontId="16" fillId="0" borderId="11" xfId="61" applyNumberFormat="1" applyFont="1" applyBorder="1" applyAlignment="1">
      <alignment horizontal="right" vertical="center"/>
      <protection/>
    </xf>
    <xf numFmtId="0" fontId="14" fillId="0" borderId="10" xfId="61" applyFont="1" applyBorder="1" applyAlignment="1">
      <alignment horizontal="right" vertical="center"/>
      <protection/>
    </xf>
    <xf numFmtId="0" fontId="14" fillId="0" borderId="13" xfId="61" applyFont="1" applyBorder="1" applyAlignment="1">
      <alignment horizontal="center" vertical="center"/>
      <protection/>
    </xf>
    <xf numFmtId="0" fontId="17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17" fillId="0" borderId="15" xfId="61" applyFont="1" applyBorder="1" applyAlignment="1" quotePrefix="1">
      <alignment vertical="center"/>
      <protection/>
    </xf>
    <xf numFmtId="3" fontId="16" fillId="0" borderId="17" xfId="61" applyNumberFormat="1" applyFont="1" applyFill="1" applyBorder="1" applyAlignment="1">
      <alignment horizontal="right" vertical="center"/>
      <protection/>
    </xf>
    <xf numFmtId="0" fontId="17" fillId="0" borderId="11" xfId="61" applyFont="1" applyBorder="1" applyAlignment="1" quotePrefix="1">
      <alignment vertical="center"/>
      <protection/>
    </xf>
    <xf numFmtId="0" fontId="17" fillId="0" borderId="0" xfId="61" applyFont="1" applyBorder="1" applyAlignment="1" quotePrefix="1">
      <alignment vertical="center"/>
      <protection/>
    </xf>
    <xf numFmtId="3" fontId="16" fillId="0" borderId="0" xfId="61" applyNumberFormat="1" applyFont="1" applyFill="1" applyBorder="1" applyAlignment="1">
      <alignment horizontal="right" vertical="center"/>
      <protection/>
    </xf>
    <xf numFmtId="3" fontId="14" fillId="0" borderId="13" xfId="61" applyNumberFormat="1" applyFont="1" applyBorder="1" applyAlignment="1">
      <alignment horizontal="right" vertical="center"/>
      <protection/>
    </xf>
    <xf numFmtId="3" fontId="14" fillId="0" borderId="11" xfId="61" applyNumberFormat="1" applyFont="1" applyBorder="1" applyAlignment="1">
      <alignment horizontal="right" vertical="center"/>
      <protection/>
    </xf>
    <xf numFmtId="3" fontId="14" fillId="0" borderId="10" xfId="61" applyNumberFormat="1" applyFont="1" applyBorder="1" applyAlignment="1">
      <alignment horizontal="right" vertical="center"/>
      <protection/>
    </xf>
    <xf numFmtId="3" fontId="14" fillId="0" borderId="10" xfId="61" applyNumberFormat="1" applyFont="1" applyBorder="1" applyAlignment="1">
      <alignment horizontal="right" vertical="center"/>
      <protection/>
    </xf>
    <xf numFmtId="3" fontId="17" fillId="0" borderId="13" xfId="61" applyNumberFormat="1" applyFont="1" applyBorder="1" applyAlignment="1">
      <alignment vertical="center"/>
      <protection/>
    </xf>
    <xf numFmtId="3" fontId="17" fillId="0" borderId="13" xfId="61" applyNumberFormat="1" applyFont="1" applyBorder="1" applyAlignment="1" applyProtection="1">
      <alignment vertical="center"/>
      <protection locked="0"/>
    </xf>
    <xf numFmtId="3" fontId="16" fillId="0" borderId="12" xfId="61" applyNumberFormat="1" applyFont="1" applyBorder="1" applyAlignment="1" applyProtection="1">
      <alignment vertical="center"/>
      <protection locked="0"/>
    </xf>
    <xf numFmtId="3" fontId="17" fillId="0" borderId="15" xfId="61" applyNumberFormat="1" applyFont="1" applyFill="1" applyBorder="1" applyAlignment="1" quotePrefix="1">
      <alignment vertical="center"/>
      <protection/>
    </xf>
    <xf numFmtId="0" fontId="15" fillId="0" borderId="13" xfId="61" applyFont="1" applyBorder="1" applyAlignment="1">
      <alignment vertical="center"/>
      <protection/>
    </xf>
    <xf numFmtId="0" fontId="15" fillId="0" borderId="11" xfId="61" applyFont="1" applyBorder="1" applyAlignment="1">
      <alignment vertical="center"/>
      <protection/>
    </xf>
    <xf numFmtId="0" fontId="17" fillId="0" borderId="10" xfId="61" applyFont="1" applyBorder="1" applyAlignment="1">
      <alignment horizontal="right" vertical="center"/>
      <protection/>
    </xf>
    <xf numFmtId="0" fontId="10" fillId="0" borderId="12" xfId="61" applyFont="1" applyBorder="1" applyAlignment="1">
      <alignment vertical="center"/>
      <protection/>
    </xf>
    <xf numFmtId="3" fontId="17" fillId="0" borderId="13" xfId="61" applyNumberFormat="1" applyFont="1" applyBorder="1" applyAlignment="1">
      <alignment horizontal="right" vertical="center"/>
      <protection/>
    </xf>
    <xf numFmtId="3" fontId="17" fillId="0" borderId="13" xfId="61" applyNumberFormat="1" applyFont="1" applyBorder="1" applyAlignment="1" applyProtection="1">
      <alignment horizontal="right" vertical="center"/>
      <protection locked="0"/>
    </xf>
    <xf numFmtId="0" fontId="10" fillId="0" borderId="0" xfId="61" applyFont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17" fillId="0" borderId="12" xfId="61" applyFont="1" applyBorder="1" applyAlignment="1">
      <alignment horizontal="right" vertical="center"/>
      <protection/>
    </xf>
    <xf numFmtId="0" fontId="17" fillId="0" borderId="14" xfId="61" applyFont="1" applyBorder="1" applyAlignment="1">
      <alignment horizontal="right" vertical="center"/>
      <protection/>
    </xf>
    <xf numFmtId="0" fontId="20" fillId="0" borderId="14" xfId="61" applyFont="1" applyBorder="1" applyAlignment="1">
      <alignment vertical="center"/>
      <protection/>
    </xf>
    <xf numFmtId="3" fontId="17" fillId="0" borderId="15" xfId="61" applyNumberFormat="1" applyFont="1" applyBorder="1" applyAlignment="1">
      <alignment horizontal="right" vertical="center"/>
      <protection/>
    </xf>
    <xf numFmtId="3" fontId="17" fillId="0" borderId="15" xfId="61" applyNumberFormat="1" applyFont="1" applyBorder="1" applyAlignment="1" applyProtection="1">
      <alignment horizontal="right" vertical="center"/>
      <protection locked="0"/>
    </xf>
    <xf numFmtId="3" fontId="16" fillId="0" borderId="14" xfId="61" applyNumberFormat="1" applyFont="1" applyFill="1" applyBorder="1" applyAlignment="1">
      <alignment horizontal="right" vertical="center"/>
      <protection/>
    </xf>
    <xf numFmtId="0" fontId="17" fillId="0" borderId="18" xfId="61" applyFont="1" applyBorder="1" applyAlignment="1">
      <alignment horizontal="right" vertical="center"/>
      <protection/>
    </xf>
    <xf numFmtId="0" fontId="20" fillId="0" borderId="18" xfId="61" applyFont="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3" fontId="17" fillId="0" borderId="20" xfId="61" applyNumberFormat="1" applyFont="1" applyBorder="1" applyAlignment="1">
      <alignment horizontal="right" vertical="center"/>
      <protection/>
    </xf>
    <xf numFmtId="3" fontId="17" fillId="0" borderId="20" xfId="61" applyNumberFormat="1" applyFont="1" applyBorder="1" applyAlignment="1" applyProtection="1">
      <alignment horizontal="right" vertical="center"/>
      <protection locked="0"/>
    </xf>
    <xf numFmtId="0" fontId="16" fillId="0" borderId="20" xfId="0" applyFont="1" applyBorder="1" applyAlignment="1">
      <alignment vertical="center" wrapText="1"/>
    </xf>
    <xf numFmtId="3" fontId="16" fillId="0" borderId="18" xfId="61" applyNumberFormat="1" applyFont="1" applyFill="1" applyBorder="1" applyAlignment="1">
      <alignment horizontal="right" vertical="center"/>
      <protection/>
    </xf>
    <xf numFmtId="3" fontId="16" fillId="0" borderId="16" xfId="61" applyNumberFormat="1" applyFont="1" applyFill="1" applyBorder="1" applyAlignment="1">
      <alignment horizontal="right" vertical="center"/>
      <protection/>
    </xf>
    <xf numFmtId="0" fontId="17" fillId="0" borderId="12" xfId="61" applyFont="1" applyBorder="1" applyAlignment="1">
      <alignment vertical="center"/>
      <protection/>
    </xf>
    <xf numFmtId="3" fontId="17" fillId="0" borderId="12" xfId="61" applyNumberFormat="1" applyFont="1" applyBorder="1" applyAlignment="1" applyProtection="1">
      <alignment horizontal="right" vertical="center"/>
      <protection locked="0"/>
    </xf>
    <xf numFmtId="0" fontId="6" fillId="0" borderId="12" xfId="61" applyFont="1" applyBorder="1" applyAlignment="1">
      <alignment vertical="center"/>
      <protection/>
    </xf>
    <xf numFmtId="3" fontId="17" fillId="0" borderId="10" xfId="61" applyNumberFormat="1" applyFont="1" applyBorder="1" applyAlignment="1" applyProtection="1">
      <alignment horizontal="right" vertical="center"/>
      <protection locked="0"/>
    </xf>
    <xf numFmtId="0" fontId="17" fillId="0" borderId="14" xfId="61" applyFont="1" applyBorder="1" applyAlignment="1" quotePrefix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17" fillId="0" borderId="18" xfId="61" applyFont="1" applyBorder="1" applyAlignment="1" quotePrefix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16" fillId="0" borderId="13" xfId="0" applyFont="1" applyBorder="1" applyAlignment="1" quotePrefix="1">
      <alignment vertical="center" wrapText="1"/>
    </xf>
    <xf numFmtId="0" fontId="16" fillId="0" borderId="11" xfId="0" applyFont="1" applyBorder="1" applyAlignment="1" quotePrefix="1">
      <alignment vertical="center" wrapText="1"/>
    </xf>
    <xf numFmtId="0" fontId="17" fillId="0" borderId="0" xfId="61" applyFont="1" applyBorder="1" applyAlignment="1">
      <alignment horizontal="right" vertical="center"/>
      <protection/>
    </xf>
    <xf numFmtId="0" fontId="16" fillId="0" borderId="13" xfId="0" applyFont="1" applyBorder="1" applyAlignment="1" quotePrefix="1">
      <alignment horizontal="left" vertical="center" wrapText="1"/>
    </xf>
    <xf numFmtId="0" fontId="16" fillId="0" borderId="11" xfId="0" applyFont="1" applyBorder="1" applyAlignment="1" quotePrefix="1">
      <alignment horizontal="left" vertical="center" wrapText="1"/>
    </xf>
    <xf numFmtId="0" fontId="16" fillId="0" borderId="13" xfId="0" applyFont="1" applyBorder="1" applyAlignment="1" quotePrefix="1">
      <alignment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61" applyFont="1" applyBorder="1" applyAlignment="1">
      <alignment horizontal="left" vertical="center"/>
      <protection/>
    </xf>
    <xf numFmtId="0" fontId="16" fillId="0" borderId="13" xfId="0" applyFont="1" applyBorder="1" applyAlignment="1" quotePrefix="1">
      <alignment horizontal="left" vertical="center"/>
    </xf>
    <xf numFmtId="0" fontId="16" fillId="0" borderId="13" xfId="63" applyFont="1" applyBorder="1" applyAlignment="1">
      <alignment horizontal="left" vertical="center"/>
      <protection/>
    </xf>
    <xf numFmtId="0" fontId="16" fillId="0" borderId="11" xfId="0" applyFont="1" applyBorder="1" applyAlignment="1" quotePrefix="1">
      <alignment horizontal="left" vertical="center"/>
    </xf>
    <xf numFmtId="0" fontId="16" fillId="0" borderId="13" xfId="61" applyFont="1" applyBorder="1" applyAlignment="1">
      <alignment vertical="center"/>
      <protection/>
    </xf>
    <xf numFmtId="0" fontId="16" fillId="0" borderId="13" xfId="63" applyFont="1" applyBorder="1" applyAlignment="1">
      <alignment vertical="center"/>
      <protection/>
    </xf>
    <xf numFmtId="0" fontId="15" fillId="0" borderId="18" xfId="61" applyFont="1" applyBorder="1" applyAlignment="1">
      <alignment vertical="center"/>
      <protection/>
    </xf>
    <xf numFmtId="0" fontId="15" fillId="0" borderId="21" xfId="61" applyFont="1" applyBorder="1" applyAlignment="1">
      <alignment vertical="center"/>
      <protection/>
    </xf>
    <xf numFmtId="3" fontId="14" fillId="0" borderId="16" xfId="61" applyNumberFormat="1" applyFont="1" applyBorder="1" applyAlignment="1" applyProtection="1">
      <alignment horizontal="right" vertical="center"/>
      <protection locked="0"/>
    </xf>
    <xf numFmtId="3" fontId="14" fillId="0" borderId="16" xfId="61" applyNumberFormat="1" applyFont="1" applyBorder="1" applyAlignment="1" applyProtection="1">
      <alignment horizontal="right" vertical="center"/>
      <protection locked="0"/>
    </xf>
    <xf numFmtId="3" fontId="17" fillId="0" borderId="11" xfId="61" applyNumberFormat="1" applyFont="1" applyBorder="1" applyAlignment="1" applyProtection="1">
      <alignment horizontal="right" vertical="center"/>
      <protection locked="0"/>
    </xf>
    <xf numFmtId="0" fontId="17" fillId="0" borderId="10" xfId="61" applyFont="1" applyBorder="1" applyAlignment="1">
      <alignment vertical="center"/>
      <protection/>
    </xf>
    <xf numFmtId="3" fontId="17" fillId="0" borderId="11" xfId="61" applyNumberFormat="1" applyFont="1" applyBorder="1" applyAlignment="1" applyProtection="1">
      <alignment vertical="center"/>
      <protection locked="0"/>
    </xf>
    <xf numFmtId="0" fontId="15" fillId="0" borderId="10" xfId="61" applyFont="1" applyBorder="1" applyAlignment="1">
      <alignment vertical="center"/>
      <protection/>
    </xf>
    <xf numFmtId="0" fontId="15" fillId="0" borderId="12" xfId="61" applyFont="1" applyBorder="1" applyAlignment="1">
      <alignment vertical="center"/>
      <protection/>
    </xf>
    <xf numFmtId="3" fontId="14" fillId="0" borderId="11" xfId="61" applyNumberFormat="1" applyFont="1" applyBorder="1" applyAlignment="1" applyProtection="1">
      <alignment horizontal="right" vertical="center"/>
      <protection locked="0"/>
    </xf>
    <xf numFmtId="3" fontId="14" fillId="0" borderId="11" xfId="61" applyNumberFormat="1" applyFont="1" applyBorder="1" applyAlignment="1" applyProtection="1">
      <alignment horizontal="right" vertical="center"/>
      <protection locked="0"/>
    </xf>
    <xf numFmtId="3" fontId="17" fillId="0" borderId="11" xfId="61" applyNumberFormat="1" applyFont="1" applyFill="1" applyBorder="1" applyAlignment="1">
      <alignment horizontal="right" vertical="center"/>
      <protection/>
    </xf>
    <xf numFmtId="3" fontId="48" fillId="0" borderId="0" xfId="61" applyNumberFormat="1" applyFont="1" applyBorder="1" applyAlignment="1" applyProtection="1">
      <alignment horizontal="right" vertical="center"/>
      <protection locked="0"/>
    </xf>
    <xf numFmtId="0" fontId="15" fillId="0" borderId="13" xfId="61" applyFont="1" applyBorder="1" applyAlignment="1" quotePrefix="1">
      <alignment vertical="center"/>
      <protection/>
    </xf>
    <xf numFmtId="3" fontId="15" fillId="0" borderId="13" xfId="61" applyNumberFormat="1" applyFont="1" applyBorder="1" applyAlignment="1">
      <alignment vertical="center"/>
      <protection/>
    </xf>
    <xf numFmtId="3" fontId="15" fillId="0" borderId="11" xfId="61" applyNumberFormat="1" applyFont="1" applyBorder="1" applyAlignment="1">
      <alignment vertical="center"/>
      <protection/>
    </xf>
    <xf numFmtId="0" fontId="37" fillId="0" borderId="0" xfId="63" applyFont="1" applyBorder="1" applyAlignment="1">
      <alignment vertical="center"/>
      <protection/>
    </xf>
    <xf numFmtId="3" fontId="17" fillId="0" borderId="11" xfId="61" applyNumberFormat="1" applyFont="1" applyBorder="1" applyAlignment="1">
      <alignment vertical="center"/>
      <protection/>
    </xf>
    <xf numFmtId="0" fontId="17" fillId="0" borderId="11" xfId="61" applyFont="1" applyBorder="1" applyAlignment="1">
      <alignment vertical="center"/>
      <protection/>
    </xf>
    <xf numFmtId="3" fontId="17" fillId="0" borderId="11" xfId="61" applyNumberFormat="1" applyFont="1" applyFill="1" applyBorder="1" applyAlignment="1" quotePrefix="1">
      <alignment vertical="center"/>
      <protection/>
    </xf>
    <xf numFmtId="0" fontId="5" fillId="0" borderId="15" xfId="61" applyFont="1" applyBorder="1" applyAlignment="1">
      <alignment vertical="center"/>
      <protection/>
    </xf>
    <xf numFmtId="3" fontId="17" fillId="0" borderId="15" xfId="61" applyNumberFormat="1" applyFont="1" applyBorder="1" applyAlignment="1">
      <alignment vertical="center"/>
      <protection/>
    </xf>
    <xf numFmtId="0" fontId="16" fillId="0" borderId="22" xfId="61" applyFont="1" applyBorder="1" applyAlignment="1" quotePrefix="1">
      <alignment vertical="center"/>
      <protection/>
    </xf>
    <xf numFmtId="3" fontId="17" fillId="0" borderId="22" xfId="61" applyNumberFormat="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3" fontId="17" fillId="0" borderId="20" xfId="61" applyNumberFormat="1" applyFont="1" applyBorder="1" applyAlignment="1">
      <alignment vertical="center"/>
      <protection/>
    </xf>
    <xf numFmtId="0" fontId="16" fillId="0" borderId="21" xfId="0" applyFont="1" applyBorder="1" applyAlignment="1">
      <alignment vertical="center" wrapText="1"/>
    </xf>
    <xf numFmtId="3" fontId="17" fillId="0" borderId="21" xfId="61" applyNumberFormat="1" applyFont="1" applyBorder="1" applyAlignment="1">
      <alignment vertical="center"/>
      <protection/>
    </xf>
    <xf numFmtId="3" fontId="16" fillId="0" borderId="10" xfId="61" applyNumberFormat="1" applyFont="1" applyBorder="1" applyAlignment="1">
      <alignment vertical="center"/>
      <protection/>
    </xf>
    <xf numFmtId="3" fontId="16" fillId="0" borderId="11" xfId="61" applyNumberFormat="1" applyFont="1" applyBorder="1" applyAlignment="1">
      <alignment vertical="center"/>
      <protection/>
    </xf>
    <xf numFmtId="0" fontId="19" fillId="0" borderId="12" xfId="61" applyFont="1" applyBorder="1" applyAlignment="1">
      <alignment horizontal="right" vertical="center"/>
      <protection/>
    </xf>
    <xf numFmtId="3" fontId="16" fillId="0" borderId="13" xfId="61" applyNumberFormat="1" applyFont="1" applyBorder="1" applyAlignment="1">
      <alignment vertical="center"/>
      <protection/>
    </xf>
    <xf numFmtId="0" fontId="16" fillId="0" borderId="11" xfId="61" applyFont="1" applyBorder="1" applyAlignment="1">
      <alignment vertical="center"/>
      <protection/>
    </xf>
    <xf numFmtId="0" fontId="19" fillId="0" borderId="14" xfId="61" applyFont="1" applyBorder="1" applyAlignment="1">
      <alignment horizontal="right" vertical="center"/>
      <protection/>
    </xf>
    <xf numFmtId="3" fontId="16" fillId="0" borderId="15" xfId="61" applyNumberFormat="1" applyFont="1" applyBorder="1" applyAlignment="1">
      <alignment vertical="center"/>
      <protection/>
    </xf>
    <xf numFmtId="0" fontId="16" fillId="0" borderId="15" xfId="61" applyFont="1" applyBorder="1" applyAlignment="1">
      <alignment vertical="center"/>
      <protection/>
    </xf>
    <xf numFmtId="0" fontId="19" fillId="0" borderId="18" xfId="61" applyFont="1" applyBorder="1" applyAlignment="1">
      <alignment horizontal="right" vertical="center"/>
      <protection/>
    </xf>
    <xf numFmtId="3" fontId="16" fillId="0" borderId="20" xfId="61" applyNumberFormat="1" applyFont="1" applyBorder="1" applyAlignment="1">
      <alignment vertical="center"/>
      <protection/>
    </xf>
    <xf numFmtId="0" fontId="16" fillId="0" borderId="20" xfId="61" applyFont="1" applyBorder="1" applyAlignment="1">
      <alignment vertical="center"/>
      <protection/>
    </xf>
    <xf numFmtId="3" fontId="17" fillId="0" borderId="16" xfId="61" applyNumberFormat="1" applyFont="1" applyBorder="1" applyAlignment="1">
      <alignment vertical="center"/>
      <protection/>
    </xf>
    <xf numFmtId="0" fontId="19" fillId="0" borderId="10" xfId="61" applyFont="1" applyBorder="1" applyAlignment="1">
      <alignment horizontal="right" vertical="center"/>
      <protection/>
    </xf>
    <xf numFmtId="0" fontId="16" fillId="0" borderId="11" xfId="61" applyFont="1" applyBorder="1" applyAlignment="1" quotePrefix="1">
      <alignment vertical="center"/>
      <protection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6" fillId="0" borderId="11" xfId="0" applyFont="1" applyBorder="1" applyAlignment="1" quotePrefix="1">
      <alignment vertical="center"/>
    </xf>
    <xf numFmtId="0" fontId="19" fillId="0" borderId="10" xfId="61" applyFont="1" applyBorder="1" applyAlignment="1">
      <alignment vertical="center"/>
      <protection/>
    </xf>
    <xf numFmtId="0" fontId="16" fillId="0" borderId="10" xfId="63" applyFont="1" applyBorder="1" applyAlignment="1">
      <alignment vertical="center"/>
      <protection/>
    </xf>
    <xf numFmtId="0" fontId="16" fillId="0" borderId="12" xfId="63" applyFont="1" applyBorder="1" applyAlignment="1">
      <alignment vertical="center"/>
      <protection/>
    </xf>
    <xf numFmtId="0" fontId="16" fillId="0" borderId="11" xfId="63" applyFont="1" applyBorder="1" applyAlignment="1">
      <alignment vertical="center"/>
      <protection/>
    </xf>
    <xf numFmtId="0" fontId="25" fillId="0" borderId="0" xfId="63" applyFont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3" fontId="8" fillId="0" borderId="0" xfId="63" applyNumberFormat="1" applyAlignment="1">
      <alignment horizontal="right" vertical="center"/>
      <protection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0" xfId="58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/>
    </xf>
    <xf numFmtId="3" fontId="38" fillId="0" borderId="11" xfId="0" applyNumberFormat="1" applyFont="1" applyBorder="1" applyAlignment="1">
      <alignment horizontal="centerContinuous" vertical="center" wrapText="1"/>
    </xf>
    <xf numFmtId="3" fontId="38" fillId="0" borderId="0" xfId="0" applyNumberFormat="1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Continuous" vertical="center"/>
    </xf>
    <xf numFmtId="3" fontId="53" fillId="0" borderId="10" xfId="0" applyNumberFormat="1" applyFont="1" applyBorder="1" applyAlignment="1">
      <alignment horizontal="right" vertical="center"/>
    </xf>
    <xf numFmtId="3" fontId="53" fillId="0" borderId="10" xfId="0" applyNumberFormat="1" applyFont="1" applyBorder="1" applyAlignment="1">
      <alignment vertical="center"/>
    </xf>
    <xf numFmtId="3" fontId="53" fillId="0" borderId="0" xfId="0" applyNumberFormat="1" applyFont="1" applyAlignment="1">
      <alignment vertical="center"/>
    </xf>
    <xf numFmtId="3" fontId="38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vertical="center"/>
    </xf>
    <xf numFmtId="3" fontId="38" fillId="0" borderId="13" xfId="0" applyNumberFormat="1" applyFont="1" applyBorder="1" applyAlignment="1" applyProtection="1">
      <alignment vertical="center"/>
      <protection hidden="1"/>
    </xf>
    <xf numFmtId="3" fontId="38" fillId="0" borderId="13" xfId="0" applyNumberFormat="1" applyFont="1" applyBorder="1" applyAlignment="1" applyProtection="1" quotePrefix="1">
      <alignment vertical="center" wrapText="1"/>
      <protection hidden="1"/>
    </xf>
    <xf numFmtId="3" fontId="38" fillId="0" borderId="13" xfId="0" applyNumberFormat="1" applyFont="1" applyBorder="1" applyAlignment="1">
      <alignment vertical="center"/>
    </xf>
    <xf numFmtId="3" fontId="38" fillId="0" borderId="13" xfId="0" applyNumberFormat="1" applyFont="1" applyBorder="1" applyAlignment="1" quotePrefix="1">
      <alignment vertical="center" wrapText="1"/>
    </xf>
    <xf numFmtId="3" fontId="38" fillId="0" borderId="13" xfId="0" applyNumberFormat="1" applyFont="1" applyBorder="1" applyAlignment="1" quotePrefix="1">
      <alignment vertical="center"/>
    </xf>
    <xf numFmtId="3" fontId="38" fillId="0" borderId="13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 applyProtection="1">
      <alignment vertical="center"/>
      <protection hidden="1"/>
    </xf>
    <xf numFmtId="3" fontId="16" fillId="0" borderId="10" xfId="57" applyNumberFormat="1" applyFont="1" applyBorder="1" applyAlignment="1">
      <alignment vertical="center"/>
      <protection/>
    </xf>
    <xf numFmtId="3" fontId="38" fillId="0" borderId="12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 wrapText="1"/>
    </xf>
    <xf numFmtId="3" fontId="16" fillId="0" borderId="13" xfId="0" applyNumberFormat="1" applyFont="1" applyBorder="1" applyAlignment="1">
      <alignment vertical="center"/>
    </xf>
    <xf numFmtId="3" fontId="38" fillId="0" borderId="20" xfId="0" applyNumberFormat="1" applyFont="1" applyBorder="1" applyAlignment="1">
      <alignment vertical="center" wrapText="1"/>
    </xf>
    <xf numFmtId="3" fontId="38" fillId="0" borderId="20" xfId="0" applyNumberFormat="1" applyFont="1" applyBorder="1" applyAlignment="1" quotePrefix="1">
      <alignment horizontal="left" vertical="center" wrapText="1" indent="2"/>
    </xf>
    <xf numFmtId="3" fontId="38" fillId="0" borderId="11" xfId="0" applyNumberFormat="1" applyFont="1" applyBorder="1" applyAlignment="1" applyProtection="1" quotePrefix="1">
      <alignment horizontal="left" vertical="center" wrapText="1" indent="2"/>
      <protection hidden="1"/>
    </xf>
    <xf numFmtId="3" fontId="38" fillId="0" borderId="20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left" vertical="center"/>
    </xf>
    <xf numFmtId="3" fontId="53" fillId="0" borderId="12" xfId="0" applyNumberFormat="1" applyFont="1" applyBorder="1" applyAlignment="1">
      <alignment vertical="center"/>
    </xf>
    <xf numFmtId="3" fontId="53" fillId="0" borderId="11" xfId="0" applyNumberFormat="1" applyFont="1" applyBorder="1" applyAlignment="1">
      <alignment vertical="center" wrapText="1"/>
    </xf>
    <xf numFmtId="3" fontId="53" fillId="0" borderId="10" xfId="0" applyNumberFormat="1" applyFont="1" applyBorder="1" applyAlignment="1" applyProtection="1">
      <alignment vertical="center"/>
      <protection hidden="1"/>
    </xf>
    <xf numFmtId="3" fontId="38" fillId="0" borderId="19" xfId="0" applyNumberFormat="1" applyFont="1" applyBorder="1" applyAlignment="1">
      <alignment horizontal="right" vertical="center"/>
    </xf>
    <xf numFmtId="3" fontId="38" fillId="0" borderId="15" xfId="0" applyNumberFormat="1" applyFont="1" applyBorder="1" applyAlignment="1">
      <alignment vertical="center"/>
    </xf>
    <xf numFmtId="3" fontId="38" fillId="0" borderId="15" xfId="0" applyNumberFormat="1" applyFont="1" applyBorder="1" applyAlignment="1" quotePrefix="1">
      <alignment vertical="center" wrapText="1"/>
    </xf>
    <xf numFmtId="3" fontId="38" fillId="0" borderId="17" xfId="0" applyNumberFormat="1" applyFont="1" applyBorder="1" applyAlignment="1">
      <alignment horizontal="right" vertical="center"/>
    </xf>
    <xf numFmtId="3" fontId="53" fillId="0" borderId="11" xfId="0" applyNumberFormat="1" applyFont="1" applyBorder="1" applyAlignment="1" quotePrefix="1">
      <alignment vertical="center" wrapText="1"/>
    </xf>
    <xf numFmtId="3" fontId="53" fillId="0" borderId="13" xfId="0" applyNumberFormat="1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Continuous" vertical="center"/>
    </xf>
    <xf numFmtId="3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6" fillId="0" borderId="0" xfId="0" applyNumberFormat="1" applyFont="1" applyAlignment="1">
      <alignment vertical="center" wrapText="1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Continuous"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 applyProtection="1">
      <alignment vertical="center"/>
      <protection hidden="1"/>
    </xf>
    <xf numFmtId="0" fontId="36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 applyProtection="1">
      <alignment vertical="center"/>
      <protection hidden="1"/>
    </xf>
    <xf numFmtId="3" fontId="53" fillId="0" borderId="10" xfId="0" applyNumberFormat="1" applyFont="1" applyBorder="1" applyAlignment="1" applyProtection="1">
      <alignment horizontal="right" vertical="center"/>
      <protection locked="0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38" fillId="0" borderId="13" xfId="0" applyFont="1" applyBorder="1" applyAlignment="1" applyProtection="1" quotePrefix="1">
      <alignment vertical="center"/>
      <protection hidden="1"/>
    </xf>
    <xf numFmtId="0" fontId="38" fillId="0" borderId="13" xfId="0" applyFont="1" applyBorder="1" applyAlignment="1" applyProtection="1">
      <alignment vertical="center"/>
      <protection hidden="1"/>
    </xf>
    <xf numFmtId="0" fontId="53" fillId="0" borderId="13" xfId="0" applyFont="1" applyBorder="1" applyAlignment="1" applyProtection="1">
      <alignment vertical="center"/>
      <protection hidden="1"/>
    </xf>
    <xf numFmtId="0" fontId="53" fillId="0" borderId="13" xfId="0" applyFont="1" applyBorder="1" applyAlignment="1">
      <alignment vertical="center"/>
    </xf>
    <xf numFmtId="0" fontId="38" fillId="0" borderId="10" xfId="0" applyFont="1" applyBorder="1" applyAlignment="1" applyProtection="1" quotePrefix="1">
      <alignment vertical="center"/>
      <protection hidden="1"/>
    </xf>
    <xf numFmtId="0" fontId="38" fillId="0" borderId="13" xfId="0" applyFont="1" applyBorder="1" applyAlignment="1">
      <alignment vertical="center"/>
    </xf>
    <xf numFmtId="3" fontId="38" fillId="0" borderId="10" xfId="0" applyNumberFormat="1" applyFont="1" applyBorder="1" applyAlignment="1" applyProtection="1">
      <alignment horizontal="right" vertical="center"/>
      <protection hidden="1"/>
    </xf>
    <xf numFmtId="0" fontId="38" fillId="0" borderId="10" xfId="0" applyFont="1" applyBorder="1" applyAlignment="1" quotePrefix="1">
      <alignment vertical="center"/>
    </xf>
    <xf numFmtId="0" fontId="38" fillId="0" borderId="13" xfId="0" applyFont="1" applyBorder="1" applyAlignment="1" quotePrefix="1">
      <alignment vertical="center"/>
    </xf>
    <xf numFmtId="0" fontId="53" fillId="0" borderId="10" xfId="0" applyFont="1" applyBorder="1" applyAlignment="1" applyProtection="1" quotePrefix="1">
      <alignment vertical="center"/>
      <protection hidden="1"/>
    </xf>
    <xf numFmtId="0" fontId="5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0" xfId="61" applyFont="1" applyBorder="1" applyAlignment="1">
      <alignment vertical="center"/>
      <protection/>
    </xf>
    <xf numFmtId="3" fontId="38" fillId="0" borderId="10" xfId="61" applyNumberFormat="1" applyFont="1" applyBorder="1" applyAlignment="1">
      <alignment horizontal="right" vertical="center"/>
      <protection/>
    </xf>
    <xf numFmtId="0" fontId="53" fillId="0" borderId="10" xfId="61" applyFont="1" applyBorder="1" applyAlignment="1">
      <alignment vertical="center"/>
      <protection/>
    </xf>
    <xf numFmtId="3" fontId="53" fillId="0" borderId="10" xfId="61" applyNumberFormat="1" applyFont="1" applyBorder="1" applyAlignment="1">
      <alignment horizontal="right" vertical="center"/>
      <protection/>
    </xf>
    <xf numFmtId="0" fontId="25" fillId="0" borderId="0" xfId="61" applyFont="1" applyBorder="1" applyAlignment="1">
      <alignment vertical="center"/>
      <protection/>
    </xf>
    <xf numFmtId="3" fontId="25" fillId="0" borderId="0" xfId="61" applyNumberFormat="1" applyFont="1" applyAlignment="1">
      <alignment vertical="center"/>
      <protection/>
    </xf>
    <xf numFmtId="3" fontId="25" fillId="0" borderId="0" xfId="61" applyNumberFormat="1" applyFont="1" applyAlignment="1">
      <alignment horizontal="right" vertical="center"/>
      <protection/>
    </xf>
    <xf numFmtId="3" fontId="54" fillId="0" borderId="0" xfId="61" applyNumberFormat="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25" fillId="0" borderId="15" xfId="61" applyFont="1" applyBorder="1" applyAlignment="1">
      <alignment horizontal="centerContinuous" vertical="center"/>
      <protection/>
    </xf>
    <xf numFmtId="3" fontId="25" fillId="0" borderId="15" xfId="61" applyNumberFormat="1" applyFont="1" applyBorder="1" applyAlignment="1">
      <alignment horizontal="centerContinuous" vertical="center" wrapText="1"/>
      <protection/>
    </xf>
    <xf numFmtId="0" fontId="18" fillId="0" borderId="10" xfId="0" applyFont="1" applyBorder="1" applyAlignment="1">
      <alignment horizontal="left" vertical="center" wrapText="1"/>
    </xf>
    <xf numFmtId="173" fontId="18" fillId="0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3" fontId="18" fillId="0" borderId="17" xfId="0" applyNumberFormat="1" applyFont="1" applyFill="1" applyBorder="1" applyAlignment="1">
      <alignment vertical="center"/>
    </xf>
    <xf numFmtId="3" fontId="18" fillId="0" borderId="22" xfId="0" applyNumberFormat="1" applyFont="1" applyFill="1" applyBorder="1" applyAlignment="1">
      <alignment vertical="center"/>
    </xf>
    <xf numFmtId="0" fontId="16" fillId="0" borderId="17" xfId="0" applyFont="1" applyBorder="1" applyAlignment="1">
      <alignment horizontal="right" vertical="center"/>
    </xf>
    <xf numFmtId="0" fontId="16" fillId="0" borderId="17" xfId="61" applyFont="1" applyBorder="1" applyAlignment="1" quotePrefix="1">
      <alignment vertical="center"/>
      <protection/>
    </xf>
    <xf numFmtId="3" fontId="16" fillId="0" borderId="17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6" fillId="0" borderId="16" xfId="0" applyFont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7" fillId="0" borderId="11" xfId="61" applyFont="1" applyBorder="1" applyAlignment="1" quotePrefix="1">
      <alignment vertical="center"/>
      <protection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6" fillId="0" borderId="11" xfId="61" applyFont="1" applyBorder="1" applyAlignment="1" quotePrefix="1">
      <alignment vertical="center"/>
      <protection/>
    </xf>
    <xf numFmtId="3" fontId="18" fillId="0" borderId="10" xfId="0" applyNumberFormat="1" applyFont="1" applyBorder="1" applyAlignment="1" quotePrefix="1">
      <alignment horizontal="right" vertical="center" wrapText="1"/>
    </xf>
    <xf numFmtId="3" fontId="16" fillId="0" borderId="10" xfId="0" applyNumberFormat="1" applyFont="1" applyBorder="1" applyAlignment="1" quotePrefix="1">
      <alignment horizontal="right" vertical="center" wrapText="1"/>
    </xf>
    <xf numFmtId="0" fontId="16" fillId="0" borderId="10" xfId="0" applyFont="1" applyBorder="1" applyAlignment="1" quotePrefix="1">
      <alignment horizontal="left" vertical="center"/>
    </xf>
    <xf numFmtId="0" fontId="16" fillId="0" borderId="10" xfId="0" applyFont="1" applyBorder="1" applyAlignment="1" quotePrefix="1">
      <alignment vertical="center"/>
    </xf>
    <xf numFmtId="0" fontId="16" fillId="0" borderId="10" xfId="0" applyFont="1" applyBorder="1" applyAlignment="1" quotePrefix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0" fontId="14" fillId="0" borderId="10" xfId="58" applyFont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14" fillId="0" borderId="10" xfId="58" applyFont="1" applyFill="1" applyBorder="1" applyAlignment="1" applyProtection="1">
      <alignment vertical="center"/>
      <protection hidden="1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vertical="center"/>
    </xf>
    <xf numFmtId="0" fontId="16" fillId="0" borderId="10" xfId="58" applyFont="1" applyBorder="1" applyAlignment="1" applyProtection="1">
      <alignment vertical="center"/>
      <protection hidden="1"/>
    </xf>
    <xf numFmtId="3" fontId="16" fillId="0" borderId="10" xfId="58" applyNumberFormat="1" applyFont="1" applyBorder="1" applyAlignment="1" applyProtection="1">
      <alignment horizontal="right" vertical="center"/>
      <protection hidden="1"/>
    </xf>
    <xf numFmtId="0" fontId="16" fillId="0" borderId="10" xfId="58" applyFont="1" applyBorder="1" applyAlignment="1" applyProtection="1">
      <alignment vertical="center"/>
      <protection hidden="1"/>
    </xf>
    <xf numFmtId="3" fontId="16" fillId="0" borderId="17" xfId="0" applyNumberFormat="1" applyFont="1" applyFill="1" applyBorder="1" applyAlignment="1">
      <alignment vertical="center"/>
    </xf>
    <xf numFmtId="0" fontId="16" fillId="0" borderId="17" xfId="58" applyFont="1" applyBorder="1" applyAlignment="1" applyProtection="1">
      <alignment vertical="center" wrapText="1"/>
      <protection hidden="1"/>
    </xf>
    <xf numFmtId="3" fontId="16" fillId="0" borderId="17" xfId="58" applyNumberFormat="1" applyFont="1" applyBorder="1" applyAlignment="1" applyProtection="1">
      <alignment horizontal="right" vertical="center" wrapText="1"/>
      <protection hidden="1"/>
    </xf>
    <xf numFmtId="3" fontId="16" fillId="0" borderId="14" xfId="58" applyNumberFormat="1" applyFont="1" applyBorder="1" applyAlignment="1" applyProtection="1">
      <alignment horizontal="right" vertical="center" wrapText="1"/>
      <protection hidden="1"/>
    </xf>
    <xf numFmtId="3" fontId="16" fillId="0" borderId="14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16" fillId="0" borderId="16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3" fontId="16" fillId="0" borderId="18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0" fontId="16" fillId="0" borderId="10" xfId="58" applyFont="1" applyBorder="1" applyAlignment="1" applyProtection="1">
      <alignment vertical="center" wrapText="1"/>
      <protection hidden="1"/>
    </xf>
    <xf numFmtId="3" fontId="16" fillId="0" borderId="10" xfId="58" applyNumberFormat="1" applyFont="1" applyBorder="1" applyAlignment="1" applyProtection="1">
      <alignment horizontal="right" vertical="center" wrapText="1"/>
      <protection hidden="1"/>
    </xf>
    <xf numFmtId="0" fontId="14" fillId="0" borderId="10" xfId="0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0" fontId="14" fillId="0" borderId="10" xfId="58" applyFont="1" applyBorder="1" applyAlignment="1" applyProtection="1">
      <alignment vertical="center" wrapText="1"/>
      <protection hidden="1"/>
    </xf>
    <xf numFmtId="3" fontId="14" fillId="0" borderId="10" xfId="58" applyNumberFormat="1" applyFont="1" applyBorder="1" applyAlignment="1" applyProtection="1">
      <alignment horizontal="right" vertical="center" wrapText="1"/>
      <protection hidden="1"/>
    </xf>
    <xf numFmtId="3" fontId="14" fillId="0" borderId="10" xfId="58" applyNumberFormat="1" applyFont="1" applyBorder="1" applyAlignment="1" applyProtection="1">
      <alignment vertical="center"/>
      <protection hidden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3" fontId="34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 applyProtection="1" quotePrefix="1">
      <alignment vertical="center"/>
      <protection hidden="1"/>
    </xf>
    <xf numFmtId="3" fontId="53" fillId="0" borderId="0" xfId="0" applyNumberFormat="1" applyFont="1" applyBorder="1" applyAlignment="1" applyProtection="1">
      <alignment horizontal="right" vertical="center"/>
      <protection locked="0"/>
    </xf>
    <xf numFmtId="3" fontId="53" fillId="0" borderId="0" xfId="0" applyNumberFormat="1" applyFont="1" applyBorder="1" applyAlignment="1">
      <alignment vertical="center"/>
    </xf>
    <xf numFmtId="0" fontId="14" fillId="0" borderId="16" xfId="61" applyFont="1" applyBorder="1" applyAlignment="1">
      <alignment horizontal="right" vertical="center"/>
      <protection/>
    </xf>
    <xf numFmtId="0" fontId="14" fillId="0" borderId="12" xfId="61" applyFont="1" applyBorder="1" applyAlignment="1">
      <alignment horizontal="right" vertical="center"/>
      <protection/>
    </xf>
    <xf numFmtId="0" fontId="16" fillId="0" borderId="0" xfId="61" applyFont="1" applyBorder="1" applyAlignment="1">
      <alignment vertical="center"/>
      <protection/>
    </xf>
    <xf numFmtId="0" fontId="16" fillId="0" borderId="0" xfId="63" applyFont="1" applyBorder="1" applyAlignment="1">
      <alignment vertical="center"/>
      <protection/>
    </xf>
    <xf numFmtId="0" fontId="16" fillId="0" borderId="0" xfId="0" applyFont="1" applyBorder="1" applyAlignment="1" quotePrefix="1">
      <alignment vertical="center"/>
    </xf>
    <xf numFmtId="0" fontId="7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3" fontId="38" fillId="0" borderId="10" xfId="0" applyNumberFormat="1" applyFont="1" applyBorder="1" applyAlignment="1" applyProtection="1">
      <alignment horizontal="right" vertical="center" wrapText="1"/>
      <protection locked="0"/>
    </xf>
    <xf numFmtId="0" fontId="38" fillId="0" borderId="17" xfId="59" applyFont="1" applyBorder="1" applyAlignment="1">
      <alignment horizontal="centerContinuous" vertical="center" wrapText="1"/>
      <protection/>
    </xf>
    <xf numFmtId="0" fontId="38" fillId="0" borderId="22" xfId="59" applyFont="1" applyBorder="1" applyAlignment="1">
      <alignment horizontal="centerContinuous" vertical="center"/>
      <protection/>
    </xf>
    <xf numFmtId="0" fontId="38" fillId="0" borderId="0" xfId="56" applyFont="1">
      <alignment/>
      <protection/>
    </xf>
    <xf numFmtId="0" fontId="38" fillId="0" borderId="10" xfId="59" applyFont="1" applyBorder="1" applyAlignment="1">
      <alignment horizontal="center"/>
      <protection/>
    </xf>
    <xf numFmtId="0" fontId="38" fillId="0" borderId="11" xfId="59" applyFont="1" applyBorder="1" applyAlignment="1">
      <alignment horizontal="center"/>
      <protection/>
    </xf>
    <xf numFmtId="0" fontId="16" fillId="0" borderId="17" xfId="59" applyFont="1" applyBorder="1" applyAlignment="1">
      <alignment horizontal="centerContinuous" vertical="center" wrapText="1"/>
      <protection/>
    </xf>
    <xf numFmtId="0" fontId="16" fillId="0" borderId="22" xfId="59" applyFont="1" applyBorder="1" applyAlignment="1">
      <alignment horizontal="centerContinuous" vertical="center"/>
      <protection/>
    </xf>
    <xf numFmtId="0" fontId="27" fillId="0" borderId="0" xfId="56" applyFont="1">
      <alignment/>
      <protection/>
    </xf>
    <xf numFmtId="0" fontId="16" fillId="0" borderId="10" xfId="59" applyFont="1" applyBorder="1" applyAlignment="1">
      <alignment horizontal="center"/>
      <protection/>
    </xf>
    <xf numFmtId="0" fontId="16" fillId="0" borderId="11" xfId="59" applyFont="1" applyBorder="1" applyAlignment="1">
      <alignment horizontal="center"/>
      <protection/>
    </xf>
    <xf numFmtId="10" fontId="16" fillId="0" borderId="0" xfId="61" applyNumberFormat="1" applyFont="1" applyAlignment="1">
      <alignment horizontal="right"/>
      <protection/>
    </xf>
    <xf numFmtId="0" fontId="2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10" fontId="16" fillId="0" borderId="0" xfId="61" applyNumberFormat="1" applyFont="1" applyAlignment="1">
      <alignment horizontal="right" vertical="center"/>
      <protection/>
    </xf>
    <xf numFmtId="0" fontId="16" fillId="0" borderId="10" xfId="58" applyFont="1" applyBorder="1" applyAlignment="1">
      <alignment horizontal="centerContinuous" vertical="center"/>
      <protection/>
    </xf>
    <xf numFmtId="0" fontId="16" fillId="0" borderId="13" xfId="61" applyFont="1" applyBorder="1" applyAlignment="1">
      <alignment horizontal="centerContinuous" vertical="center"/>
      <protection/>
    </xf>
    <xf numFmtId="3" fontId="16" fillId="0" borderId="13" xfId="61" applyNumberFormat="1" applyFont="1" applyBorder="1" applyAlignment="1">
      <alignment horizontal="centerContinuous" vertical="center" wrapText="1"/>
      <protection/>
    </xf>
    <xf numFmtId="3" fontId="16" fillId="0" borderId="11" xfId="61" applyNumberFormat="1" applyFont="1" applyBorder="1" applyAlignment="1">
      <alignment horizontal="centerContinuous" vertical="center" wrapText="1"/>
      <protection/>
    </xf>
    <xf numFmtId="0" fontId="16" fillId="0" borderId="0" xfId="58" applyFont="1" applyBorder="1" applyProtection="1">
      <alignment/>
      <protection hidden="1"/>
    </xf>
    <xf numFmtId="0" fontId="18" fillId="0" borderId="0" xfId="58" applyFont="1" applyBorder="1" applyAlignment="1" applyProtection="1">
      <alignment horizontal="centerContinuous" vertical="center"/>
      <protection hidden="1"/>
    </xf>
    <xf numFmtId="0" fontId="16" fillId="0" borderId="0" xfId="58" applyFont="1">
      <alignment/>
      <protection/>
    </xf>
    <xf numFmtId="0" fontId="16" fillId="0" borderId="0" xfId="0" applyFont="1" applyAlignment="1">
      <alignment horizontal="right"/>
    </xf>
    <xf numFmtId="0" fontId="16" fillId="0" borderId="0" xfId="58" applyFont="1" applyProtection="1">
      <alignment/>
      <protection hidden="1"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0" xfId="58" applyFont="1" applyAlignment="1" applyProtection="1">
      <alignment vertical="center" wrapText="1"/>
      <protection hidden="1"/>
    </xf>
    <xf numFmtId="0" fontId="16" fillId="0" borderId="10" xfId="58" applyFont="1" applyBorder="1" applyAlignment="1">
      <alignment horizontal="center"/>
      <protection/>
    </xf>
    <xf numFmtId="0" fontId="38" fillId="0" borderId="11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38" fillId="0" borderId="10" xfId="0" applyFont="1" applyBorder="1" applyAlignment="1">
      <alignment horizontal="centerContinuous" vertical="center" wrapText="1"/>
    </xf>
    <xf numFmtId="3" fontId="16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3" fontId="16" fillId="0" borderId="22" xfId="61" applyNumberFormat="1" applyFont="1" applyBorder="1" applyAlignment="1">
      <alignment horizontal="centerContinuous" vertical="center" wrapText="1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Continuous" vertical="center"/>
    </xf>
    <xf numFmtId="0" fontId="36" fillId="0" borderId="10" xfId="0" applyFont="1" applyBorder="1" applyAlignment="1">
      <alignment horizontal="centerContinuous"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right" vertical="center"/>
    </xf>
    <xf numFmtId="0" fontId="58" fillId="0" borderId="12" xfId="0" applyFont="1" applyBorder="1" applyAlignment="1">
      <alignment horizontal="left" vertical="center" wrapText="1"/>
    </xf>
    <xf numFmtId="3" fontId="5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4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center"/>
    </xf>
    <xf numFmtId="0" fontId="36" fillId="0" borderId="14" xfId="0" applyFont="1" applyBorder="1" applyAlignment="1" applyProtection="1">
      <alignment horizontal="left" vertical="center"/>
      <protection hidden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/>
    </xf>
    <xf numFmtId="0" fontId="36" fillId="0" borderId="14" xfId="0" applyFont="1" applyBorder="1" applyAlignment="1" applyProtection="1">
      <alignment horizontal="left" vertical="center" wrapText="1"/>
      <protection hidden="1"/>
    </xf>
    <xf numFmtId="0" fontId="36" fillId="0" borderId="12" xfId="0" applyFont="1" applyBorder="1" applyAlignment="1" applyProtection="1">
      <alignment vertical="center"/>
      <protection hidden="1"/>
    </xf>
    <xf numFmtId="0" fontId="36" fillId="0" borderId="12" xfId="0" applyFont="1" applyBorder="1" applyAlignment="1" applyProtection="1">
      <alignment vertical="center" wrapText="1"/>
      <protection hidden="1"/>
    </xf>
    <xf numFmtId="0" fontId="58" fillId="0" borderId="12" xfId="0" applyFont="1" applyBorder="1" applyAlignment="1" applyProtection="1">
      <alignment vertical="center"/>
      <protection hidden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 applyProtection="1">
      <alignment vertical="center"/>
      <protection hidden="1"/>
    </xf>
    <xf numFmtId="0" fontId="36" fillId="0" borderId="10" xfId="0" applyFont="1" applyBorder="1" applyAlignment="1" applyProtection="1">
      <alignment vertical="center" wrapText="1"/>
      <protection hidden="1"/>
    </xf>
    <xf numFmtId="0" fontId="36" fillId="0" borderId="12" xfId="0" applyFont="1" applyBorder="1" applyAlignment="1">
      <alignment horizontal="right" vertical="center"/>
    </xf>
    <xf numFmtId="0" fontId="36" fillId="0" borderId="12" xfId="0" applyFont="1" applyBorder="1" applyAlignment="1" applyProtection="1">
      <alignment horizontal="left" vertical="center"/>
      <protection hidden="1"/>
    </xf>
    <xf numFmtId="0" fontId="36" fillId="0" borderId="12" xfId="0" applyFont="1" applyBorder="1" applyAlignment="1" applyProtection="1">
      <alignment horizontal="left" vertical="center" wrapText="1"/>
      <protection hidden="1"/>
    </xf>
    <xf numFmtId="0" fontId="58" fillId="0" borderId="12" xfId="0" applyFont="1" applyBorder="1" applyAlignment="1">
      <alignment horizontal="right" vertical="center"/>
    </xf>
    <xf numFmtId="0" fontId="58" fillId="0" borderId="10" xfId="0" applyFont="1" applyBorder="1" applyAlignment="1" applyProtection="1">
      <alignment vertical="center" wrapText="1"/>
      <protection hidden="1"/>
    </xf>
    <xf numFmtId="0" fontId="58" fillId="0" borderId="10" xfId="0" applyFont="1" applyBorder="1" applyAlignment="1">
      <alignment horizontal="left" vertical="center" wrapText="1"/>
    </xf>
    <xf numFmtId="3" fontId="58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 applyProtection="1">
      <alignment horizontal="left" vertical="center"/>
      <protection hidden="1"/>
    </xf>
    <xf numFmtId="0" fontId="58" fillId="0" borderId="12" xfId="0" applyFont="1" applyBorder="1" applyAlignment="1" applyProtection="1">
      <alignment horizontal="left" vertical="center"/>
      <protection hidden="1"/>
    </xf>
    <xf numFmtId="0" fontId="58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3" fontId="58" fillId="0" borderId="0" xfId="0" applyNumberFormat="1" applyFont="1" applyAlignment="1">
      <alignment vertical="center"/>
    </xf>
    <xf numFmtId="3" fontId="36" fillId="0" borderId="10" xfId="0" applyNumberFormat="1" applyFont="1" applyBorder="1" applyAlignment="1">
      <alignment horizontal="right" vertical="center"/>
    </xf>
    <xf numFmtId="3" fontId="36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Continuous" vertical="center" wrapText="1"/>
    </xf>
    <xf numFmtId="0" fontId="58" fillId="0" borderId="10" xfId="0" applyFont="1" applyBorder="1" applyAlignment="1">
      <alignment horizontal="centerContinuous" vertical="center" wrapText="1"/>
    </xf>
    <xf numFmtId="3" fontId="58" fillId="0" borderId="10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36" fillId="0" borderId="12" xfId="0" applyNumberFormat="1" applyFont="1" applyBorder="1" applyAlignment="1">
      <alignment horizontal="centerContinuous" vertical="center"/>
    </xf>
    <xf numFmtId="3" fontId="36" fillId="0" borderId="11" xfId="0" applyNumberFormat="1" applyFont="1" applyBorder="1" applyAlignment="1">
      <alignment horizontal="centerContinuous" vertical="center" wrapText="1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 applyProtection="1">
      <alignment vertical="center"/>
      <protection hidden="1"/>
    </xf>
    <xf numFmtId="3" fontId="36" fillId="0" borderId="17" xfId="0" applyNumberFormat="1" applyFont="1" applyBorder="1" applyAlignment="1">
      <alignment vertical="center"/>
    </xf>
    <xf numFmtId="3" fontId="36" fillId="0" borderId="14" xfId="0" applyNumberFormat="1" applyFont="1" applyBorder="1" applyAlignment="1">
      <alignment vertical="center"/>
    </xf>
    <xf numFmtId="0" fontId="36" fillId="0" borderId="16" xfId="0" applyFont="1" applyBorder="1" applyAlignment="1">
      <alignment horizontal="right" vertical="center"/>
    </xf>
    <xf numFmtId="3" fontId="36" fillId="0" borderId="18" xfId="0" applyNumberFormat="1" applyFont="1" applyBorder="1" applyAlignment="1">
      <alignment vertical="center"/>
    </xf>
    <xf numFmtId="3" fontId="36" fillId="0" borderId="16" xfId="0" applyNumberFormat="1" applyFont="1" applyBorder="1" applyAlignment="1">
      <alignment vertical="center"/>
    </xf>
    <xf numFmtId="3" fontId="36" fillId="0" borderId="10" xfId="0" applyNumberFormat="1" applyFont="1" applyBorder="1" applyAlignment="1" applyProtection="1">
      <alignment vertical="center"/>
      <protection hidden="1"/>
    </xf>
    <xf numFmtId="3" fontId="58" fillId="0" borderId="10" xfId="0" applyNumberFormat="1" applyFont="1" applyBorder="1" applyAlignment="1" applyProtection="1">
      <alignment horizontal="right" vertical="center"/>
      <protection locked="0"/>
    </xf>
    <xf numFmtId="3" fontId="36" fillId="0" borderId="10" xfId="0" applyNumberFormat="1" applyFont="1" applyBorder="1" applyAlignment="1" applyProtection="1">
      <alignment horizontal="right" vertical="center"/>
      <protection locked="0"/>
    </xf>
    <xf numFmtId="0" fontId="36" fillId="0" borderId="10" xfId="0" applyFont="1" applyBorder="1" applyAlignment="1" quotePrefix="1">
      <alignment vertical="center" wrapText="1"/>
    </xf>
    <xf numFmtId="16" fontId="36" fillId="0" borderId="10" xfId="0" applyNumberFormat="1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0" fontId="36" fillId="0" borderId="10" xfId="0" applyFont="1" applyBorder="1" applyAlignment="1" applyProtection="1">
      <alignment horizontal="left" vertical="center" wrapText="1"/>
      <protection hidden="1"/>
    </xf>
    <xf numFmtId="3" fontId="58" fillId="0" borderId="10" xfId="0" applyNumberFormat="1" applyFont="1" applyBorder="1" applyAlignment="1" applyProtection="1">
      <alignment vertical="center"/>
      <protection hidden="1"/>
    </xf>
    <xf numFmtId="0" fontId="36" fillId="0" borderId="12" xfId="0" applyFont="1" applyBorder="1" applyAlignment="1">
      <alignment horizontal="centerContinuous" vertical="center"/>
    </xf>
    <xf numFmtId="3" fontId="17" fillId="0" borderId="18" xfId="61" applyNumberFormat="1" applyFont="1" applyBorder="1" applyAlignment="1">
      <alignment vertical="center"/>
      <protection/>
    </xf>
    <xf numFmtId="3" fontId="16" fillId="0" borderId="16" xfId="61" applyNumberFormat="1" applyFont="1" applyBorder="1" applyAlignment="1">
      <alignment vertical="center"/>
      <protection/>
    </xf>
    <xf numFmtId="3" fontId="29" fillId="0" borderId="14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53" fillId="0" borderId="10" xfId="61" applyNumberFormat="1" applyFont="1" applyBorder="1" applyAlignment="1" applyProtection="1">
      <alignment horizontal="right" vertical="center"/>
      <protection locked="0"/>
    </xf>
    <xf numFmtId="173" fontId="16" fillId="0" borderId="10" xfId="0" applyNumberFormat="1" applyFont="1" applyFill="1" applyBorder="1" applyAlignment="1">
      <alignment horizontal="right" vertical="center"/>
    </xf>
    <xf numFmtId="173" fontId="16" fillId="0" borderId="10" xfId="0" applyNumberFormat="1" applyFont="1" applyFill="1" applyBorder="1" applyAlignment="1">
      <alignment horizontal="right" vertical="center"/>
    </xf>
    <xf numFmtId="3" fontId="75" fillId="0" borderId="0" xfId="0" applyNumberFormat="1" applyFont="1" applyAlignment="1">
      <alignment vertical="center"/>
    </xf>
    <xf numFmtId="173" fontId="18" fillId="0" borderId="10" xfId="0" applyNumberFormat="1" applyFont="1" applyFill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 quotePrefix="1">
      <alignment horizontal="left" vertical="center" wrapText="1"/>
    </xf>
    <xf numFmtId="3" fontId="16" fillId="0" borderId="0" xfId="0" applyNumberFormat="1" applyFont="1" applyBorder="1" applyAlignment="1" quotePrefix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 applyProtection="1">
      <alignment vertical="center" wrapText="1"/>
      <protection hidden="1"/>
    </xf>
    <xf numFmtId="3" fontId="36" fillId="0" borderId="10" xfId="0" applyNumberFormat="1" applyFont="1" applyBorder="1" applyAlignment="1" applyProtection="1">
      <alignment vertical="center"/>
      <protection hidden="1"/>
    </xf>
    <xf numFmtId="3" fontId="36" fillId="0" borderId="15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0" fontId="36" fillId="0" borderId="17" xfId="0" applyFont="1" applyBorder="1" applyAlignment="1" applyProtection="1">
      <alignment vertical="center"/>
      <protection hidden="1"/>
    </xf>
    <xf numFmtId="0" fontId="36" fillId="0" borderId="17" xfId="0" applyFont="1" applyBorder="1" applyAlignment="1" applyProtection="1">
      <alignment vertical="center" wrapText="1"/>
      <protection hidden="1"/>
    </xf>
    <xf numFmtId="0" fontId="36" fillId="0" borderId="16" xfId="0" applyFont="1" applyBorder="1" applyAlignment="1" applyProtection="1">
      <alignment horizontal="left" vertical="center"/>
      <protection hidden="1"/>
    </xf>
    <xf numFmtId="0" fontId="36" fillId="0" borderId="16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1" fontId="25" fillId="0" borderId="10" xfId="58" applyNumberFormat="1" applyFont="1" applyBorder="1" applyAlignment="1" applyProtection="1">
      <alignment horizontal="left" vertical="center" wrapText="1"/>
      <protection hidden="1"/>
    </xf>
    <xf numFmtId="1" fontId="25" fillId="0" borderId="10" xfId="58" applyNumberFormat="1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" fontId="25" fillId="0" borderId="10" xfId="58" applyNumberFormat="1" applyFont="1" applyBorder="1" applyAlignment="1" applyProtection="1">
      <alignment horizontal="right" vertical="center" wrapText="1"/>
      <protection hidden="1"/>
    </xf>
    <xf numFmtId="1" fontId="25" fillId="0" borderId="10" xfId="58" applyNumberFormat="1" applyFont="1" applyBorder="1" applyAlignment="1" applyProtection="1">
      <alignment horizontal="right" vertical="center"/>
      <protection hidden="1"/>
    </xf>
    <xf numFmtId="0" fontId="2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7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5" fillId="0" borderId="10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5" fillId="0" borderId="10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Continuous" vertical="center"/>
    </xf>
    <xf numFmtId="3" fontId="5" fillId="0" borderId="13" xfId="0" applyNumberFormat="1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Continuous" vertical="center"/>
    </xf>
    <xf numFmtId="4" fontId="5" fillId="0" borderId="10" xfId="0" applyNumberFormat="1" applyFont="1" applyBorder="1" applyAlignment="1">
      <alignment vertical="center"/>
    </xf>
    <xf numFmtId="0" fontId="77" fillId="0" borderId="10" xfId="0" applyFont="1" applyFill="1" applyBorder="1" applyAlignment="1">
      <alignment horizontal="center" vertical="center" wrapText="1"/>
    </xf>
    <xf numFmtId="0" fontId="4" fillId="0" borderId="0" xfId="58" applyFont="1" applyBorder="1" applyAlignment="1" applyProtection="1">
      <alignment horizontal="center" vertical="center"/>
      <protection hidden="1"/>
    </xf>
    <xf numFmtId="0" fontId="12" fillId="0" borderId="0" xfId="58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16" fillId="0" borderId="13" xfId="61" applyFont="1" applyBorder="1" applyAlignment="1" quotePrefix="1">
      <alignment horizontal="left" vertical="center" wrapText="1"/>
      <protection/>
    </xf>
    <xf numFmtId="3" fontId="16" fillId="0" borderId="11" xfId="0" applyNumberFormat="1" applyFont="1" applyBorder="1" applyAlignment="1">
      <alignment horizontal="left" vertical="center" wrapText="1"/>
    </xf>
    <xf numFmtId="3" fontId="34" fillId="0" borderId="0" xfId="0" applyNumberFormat="1" applyFont="1" applyAlignment="1">
      <alignment horizontal="center" vertical="center"/>
    </xf>
    <xf numFmtId="3" fontId="53" fillId="0" borderId="12" xfId="0" applyNumberFormat="1" applyFont="1" applyBorder="1" applyAlignment="1">
      <alignment horizontal="left" vertical="center"/>
    </xf>
    <xf numFmtId="3" fontId="53" fillId="0" borderId="11" xfId="0" applyNumberFormat="1" applyFont="1" applyBorder="1" applyAlignment="1">
      <alignment horizontal="left" vertical="center"/>
    </xf>
    <xf numFmtId="0" fontId="36" fillId="0" borderId="14" xfId="0" applyFont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0" fontId="4" fillId="0" borderId="0" xfId="58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/>
    </xf>
    <xf numFmtId="0" fontId="4" fillId="0" borderId="0" xfId="58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/>
    </xf>
    <xf numFmtId="0" fontId="4" fillId="0" borderId="0" xfId="58" applyFont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center" vertical="center" wrapText="1"/>
      <protection hidden="1"/>
    </xf>
    <xf numFmtId="0" fontId="29" fillId="0" borderId="17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38" fillId="0" borderId="12" xfId="0" applyNumberFormat="1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left" vertical="center" wrapText="1"/>
    </xf>
    <xf numFmtId="3" fontId="38" fillId="0" borderId="12" xfId="0" applyNumberFormat="1" applyFont="1" applyBorder="1" applyAlignment="1">
      <alignment horizontal="left" vertical="center" wrapText="1"/>
    </xf>
    <xf numFmtId="3" fontId="38" fillId="0" borderId="11" xfId="0" applyNumberFormat="1" applyFont="1" applyBorder="1" applyAlignment="1">
      <alignment horizontal="left" vertical="center" wrapText="1"/>
    </xf>
    <xf numFmtId="3" fontId="16" fillId="0" borderId="12" xfId="0" applyNumberFormat="1" applyFont="1" applyBorder="1" applyAlignment="1">
      <alignment horizontal="left" vertical="center" wrapText="1"/>
    </xf>
    <xf numFmtId="0" fontId="16" fillId="0" borderId="11" xfId="61" applyFont="1" applyBorder="1" applyAlignment="1" quotePrefix="1">
      <alignment horizontal="left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16" fillId="0" borderId="13" xfId="0" applyFont="1" applyBorder="1" applyAlignment="1" quotePrefix="1">
      <alignment horizontal="left" vertical="center" wrapText="1"/>
    </xf>
    <xf numFmtId="0" fontId="16" fillId="0" borderId="11" xfId="0" applyFont="1" applyBorder="1" applyAlignment="1" quotePrefix="1">
      <alignment horizontal="left" vertical="center" wrapText="1"/>
    </xf>
    <xf numFmtId="0" fontId="29" fillId="0" borderId="0" xfId="56" applyFont="1" applyAlignment="1">
      <alignment horizontal="center"/>
      <protection/>
    </xf>
    <xf numFmtId="0" fontId="40" fillId="0" borderId="0" xfId="60" applyFont="1" applyAlignment="1">
      <alignment horizontal="center"/>
      <protection/>
    </xf>
    <xf numFmtId="0" fontId="42" fillId="0" borderId="0" xfId="59" applyFont="1" applyBorder="1" applyAlignment="1" applyProtection="1">
      <alignment horizontal="center" vertical="center" wrapText="1"/>
      <protection hidden="1"/>
    </xf>
    <xf numFmtId="0" fontId="40" fillId="0" borderId="0" xfId="59" applyFont="1" applyBorder="1" applyAlignment="1" applyProtection="1">
      <alignment horizontal="center" vertical="center" wrapText="1"/>
      <protection hidden="1"/>
    </xf>
    <xf numFmtId="0" fontId="0" fillId="0" borderId="0" xfId="56" applyAlignment="1">
      <alignment horizontal="center"/>
      <protection/>
    </xf>
    <xf numFmtId="0" fontId="45" fillId="0" borderId="0" xfId="60" applyFont="1" applyAlignment="1">
      <alignment horizontal="center"/>
      <protection/>
    </xf>
    <xf numFmtId="0" fontId="47" fillId="0" borderId="0" xfId="59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2" fontId="11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3 kvPOHI" xfId="57"/>
    <cellStyle name="Normál_KIAD_1.XLS" xfId="58"/>
    <cellStyle name="Normál_KIAD_1.XLS 2" xfId="59"/>
    <cellStyle name="Normál_KIAD_1.XLS_1" xfId="60"/>
    <cellStyle name="Normál_KIAD_4F.XLS" xfId="61"/>
    <cellStyle name="Normál_KIAD_4F.XLS 2" xfId="62"/>
    <cellStyle name="Normál_KIAD_4F1" xfId="63"/>
    <cellStyle name="Normal_tanusit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7109375" style="190" customWidth="1"/>
    <col min="2" max="2" width="37.421875" style="131" customWidth="1"/>
    <col min="3" max="3" width="9.57421875" style="189" customWidth="1"/>
    <col min="4" max="5" width="12.00390625" style="189" customWidth="1"/>
    <col min="6" max="6" width="8.421875" style="102" customWidth="1"/>
    <col min="7" max="7" width="11.421875" style="102" customWidth="1"/>
    <col min="8" max="16384" width="9.140625" style="102" customWidth="1"/>
  </cols>
  <sheetData>
    <row r="2" spans="1:7" ht="15.75">
      <c r="A2" s="858" t="s">
        <v>285</v>
      </c>
      <c r="B2" s="858"/>
      <c r="C2" s="858"/>
      <c r="D2" s="858"/>
      <c r="E2" s="858"/>
      <c r="F2" s="858"/>
      <c r="G2" s="858"/>
    </row>
    <row r="3" spans="1:7" ht="15.75">
      <c r="A3" s="858" t="s">
        <v>482</v>
      </c>
      <c r="B3" s="858"/>
      <c r="C3" s="858"/>
      <c r="D3" s="858"/>
      <c r="E3" s="858"/>
      <c r="F3" s="858"/>
      <c r="G3" s="858"/>
    </row>
    <row r="4" ht="12.75">
      <c r="A4" s="284"/>
    </row>
    <row r="5" spans="1:7" s="559" customFormat="1" ht="12" customHeight="1">
      <c r="A5" s="658"/>
      <c r="B5" s="659"/>
      <c r="C5" s="660"/>
      <c r="D5" s="660"/>
      <c r="E5" s="660"/>
      <c r="G5" s="658" t="s">
        <v>377</v>
      </c>
    </row>
    <row r="6" spans="1:7" s="554" customFormat="1" ht="36.75" customHeight="1">
      <c r="A6" s="520" t="s">
        <v>215</v>
      </c>
      <c r="B6" s="520" t="s">
        <v>378</v>
      </c>
      <c r="C6" s="713" t="s">
        <v>297</v>
      </c>
      <c r="D6" s="712" t="s">
        <v>570</v>
      </c>
      <c r="E6" s="712" t="s">
        <v>635</v>
      </c>
      <c r="F6" s="520" t="s">
        <v>572</v>
      </c>
      <c r="G6" s="712" t="s">
        <v>716</v>
      </c>
    </row>
    <row r="7" spans="1:7" s="559" customFormat="1" ht="12" customHeight="1">
      <c r="A7" s="560" t="s">
        <v>208</v>
      </c>
      <c r="B7" s="555" t="s">
        <v>209</v>
      </c>
      <c r="C7" s="557" t="s">
        <v>210</v>
      </c>
      <c r="D7" s="557" t="s">
        <v>182</v>
      </c>
      <c r="E7" s="557" t="s">
        <v>183</v>
      </c>
      <c r="F7" s="557" t="s">
        <v>184</v>
      </c>
      <c r="G7" s="557" t="s">
        <v>185</v>
      </c>
    </row>
    <row r="8" spans="1:7" ht="12.75" customHeight="1">
      <c r="A8" s="130" t="s">
        <v>208</v>
      </c>
      <c r="B8" s="191" t="s">
        <v>234</v>
      </c>
      <c r="C8" s="44">
        <f>SUM('3.számú melléklet'!C33+'4.számú melléklet'!C67)</f>
        <v>37900</v>
      </c>
      <c r="D8" s="44">
        <f>SUM('3.számú melléklet'!D33+'4.számú melléklet'!D67)</f>
        <v>37900</v>
      </c>
      <c r="E8" s="44">
        <f>SUM('3.számú melléklet'!E33+'4.számú melléklet'!E67)</f>
        <v>37900</v>
      </c>
      <c r="F8" s="44">
        <f>SUM('3.számú melléklet'!F33+'4.számú melléklet'!F67)</f>
        <v>0</v>
      </c>
      <c r="G8" s="44">
        <f>SUM('3.számú melléklet'!G33+'4.számú melléklet'!G67)</f>
        <v>37900</v>
      </c>
    </row>
    <row r="9" spans="1:7" ht="25.5" customHeight="1">
      <c r="A9" s="269" t="s">
        <v>209</v>
      </c>
      <c r="B9" s="271" t="s">
        <v>414</v>
      </c>
      <c r="C9" s="193">
        <f>SUM('3.számú melléklet'!C34+'4.számú melléklet'!C68)</f>
        <v>558689</v>
      </c>
      <c r="D9" s="193">
        <f>SUM('3.számú melléklet'!D34+'4.számú melléklet'!D68)</f>
        <v>570046</v>
      </c>
      <c r="E9" s="193">
        <f>SUM('3.számú melléklet'!E34+'4.számú melléklet'!E68)</f>
        <v>571728</v>
      </c>
      <c r="F9" s="193">
        <f>SUM('3.számú melléklet'!F34+'4.számú melléklet'!F68)</f>
        <v>6978</v>
      </c>
      <c r="G9" s="193">
        <f>SUM('3.számú melléklet'!G34+'4.számú melléklet'!G68)</f>
        <v>578706</v>
      </c>
    </row>
    <row r="10" spans="1:7" ht="12.75">
      <c r="A10" s="130" t="s">
        <v>210</v>
      </c>
      <c r="B10" s="272" t="s">
        <v>181</v>
      </c>
      <c r="C10" s="44">
        <f>SUM('3.számú melléklet'!C35+'4.számú melléklet'!C69)</f>
        <v>22202</v>
      </c>
      <c r="D10" s="44">
        <f>SUM('3.számú melléklet'!D35+'4.számú melléklet'!D69)</f>
        <v>22202</v>
      </c>
      <c r="E10" s="44">
        <f>SUM('3.számú melléklet'!E35+'4.számú melléklet'!E69)</f>
        <v>22202</v>
      </c>
      <c r="F10" s="44">
        <f>SUM('3.számú melléklet'!F35+'4.számú melléklet'!F69)</f>
        <v>0</v>
      </c>
      <c r="G10" s="44">
        <f>SUM('3.számú melléklet'!G35+'4.számú melléklet'!G69)</f>
        <v>22202</v>
      </c>
    </row>
    <row r="11" spans="1:7" ht="12.75">
      <c r="A11" s="130" t="s">
        <v>182</v>
      </c>
      <c r="B11" s="191" t="s">
        <v>79</v>
      </c>
      <c r="C11" s="44">
        <f>SUM('3.számú melléklet'!C36+'4.számú melléklet'!C70)</f>
        <v>360425</v>
      </c>
      <c r="D11" s="44">
        <f>SUM('3.számú melléklet'!D36+'4.számú melléklet'!D70)</f>
        <v>360425</v>
      </c>
      <c r="E11" s="44">
        <f>SUM('3.számú melléklet'!E36+'4.számú melléklet'!E70)</f>
        <v>360425</v>
      </c>
      <c r="F11" s="44">
        <f>SUM('3.számú melléklet'!F36+'4.számú melléklet'!F70)</f>
        <v>0</v>
      </c>
      <c r="G11" s="44">
        <f>SUM('3.számú melléklet'!G36+'4.számú melléklet'!G70)</f>
        <v>360425</v>
      </c>
    </row>
    <row r="12" spans="1:7" ht="12.75">
      <c r="A12" s="130" t="s">
        <v>183</v>
      </c>
      <c r="B12" s="191" t="s">
        <v>447</v>
      </c>
      <c r="C12" s="44">
        <f>SUM('3.számú melléklet'!C37+'4.számú melléklet'!C71)</f>
        <v>243384</v>
      </c>
      <c r="D12" s="44">
        <f>SUM('3.számú melléklet'!D37+'4.számú melléklet'!D71)</f>
        <v>244484</v>
      </c>
      <c r="E12" s="44">
        <f>SUM('3.számú melléklet'!E37+'4.számú melléklet'!E71)</f>
        <v>244484</v>
      </c>
      <c r="F12" s="44">
        <f>SUM('3.számú melléklet'!F37+'4.számú melléklet'!F71)</f>
        <v>0</v>
      </c>
      <c r="G12" s="44">
        <f>SUM('3.számú melléklet'!G37+'4.számú melléklet'!G71)</f>
        <v>244484</v>
      </c>
    </row>
    <row r="13" spans="1:7" s="276" customFormat="1" ht="13.5">
      <c r="A13" s="273" t="s">
        <v>80</v>
      </c>
      <c r="B13" s="274" t="s">
        <v>413</v>
      </c>
      <c r="C13" s="275">
        <f>SUM(C8:C12)</f>
        <v>1222600</v>
      </c>
      <c r="D13" s="275">
        <f>SUM(D8:D12)</f>
        <v>1235057</v>
      </c>
      <c r="E13" s="275">
        <f>SUM(E8:E12)</f>
        <v>1236739</v>
      </c>
      <c r="F13" s="275">
        <f>SUM(F8:F12)</f>
        <v>6978</v>
      </c>
      <c r="G13" s="275">
        <f>SUM(G8:G12)</f>
        <v>1243717</v>
      </c>
    </row>
    <row r="14" spans="1:7" ht="12.75">
      <c r="A14" s="130" t="s">
        <v>184</v>
      </c>
      <c r="B14" s="191" t="s">
        <v>229</v>
      </c>
      <c r="C14" s="278">
        <v>1000000</v>
      </c>
      <c r="D14" s="278">
        <v>1000000</v>
      </c>
      <c r="E14" s="278">
        <v>1000000</v>
      </c>
      <c r="F14" s="44">
        <v>0</v>
      </c>
      <c r="G14" s="44">
        <f>SUM(E14:F14)</f>
        <v>1000000</v>
      </c>
    </row>
    <row r="15" spans="1:7" ht="12.75">
      <c r="A15" s="130" t="s">
        <v>185</v>
      </c>
      <c r="B15" s="191" t="s">
        <v>81</v>
      </c>
      <c r="C15" s="278">
        <v>5121672</v>
      </c>
      <c r="D15" s="278">
        <v>5121672</v>
      </c>
      <c r="E15" s="278">
        <v>5121672</v>
      </c>
      <c r="F15" s="44">
        <v>0</v>
      </c>
      <c r="G15" s="44">
        <f>SUM(E15:F15)</f>
        <v>5121672</v>
      </c>
    </row>
    <row r="16" spans="1:7" s="276" customFormat="1" ht="13.5">
      <c r="A16" s="273" t="s">
        <v>82</v>
      </c>
      <c r="B16" s="274" t="s">
        <v>295</v>
      </c>
      <c r="C16" s="275">
        <f>SUM('4.számú melléklet'!C72)</f>
        <v>6121672</v>
      </c>
      <c r="D16" s="275">
        <f>SUM('4.számú melléklet'!D72)</f>
        <v>6121672</v>
      </c>
      <c r="E16" s="275">
        <f>SUM('4.számú melléklet'!E72)</f>
        <v>6121672</v>
      </c>
      <c r="F16" s="275">
        <f>SUM('4.számú melléklet'!F72)</f>
        <v>0</v>
      </c>
      <c r="G16" s="275">
        <f>SUM('4.számú melléklet'!G72)</f>
        <v>6121672</v>
      </c>
    </row>
    <row r="17" spans="1:7" ht="12.75">
      <c r="A17" s="130" t="s">
        <v>186</v>
      </c>
      <c r="B17" s="191" t="s">
        <v>157</v>
      </c>
      <c r="C17" s="278">
        <v>325389</v>
      </c>
      <c r="D17" s="278">
        <v>325389</v>
      </c>
      <c r="E17" s="278">
        <v>325389</v>
      </c>
      <c r="F17" s="44"/>
      <c r="G17" s="44">
        <f>SUM(E17:F17)</f>
        <v>325389</v>
      </c>
    </row>
    <row r="18" spans="1:7" ht="12.75">
      <c r="A18" s="130" t="s">
        <v>187</v>
      </c>
      <c r="B18" s="191" t="s">
        <v>322</v>
      </c>
      <c r="C18" s="278">
        <v>650000</v>
      </c>
      <c r="D18" s="278">
        <v>650000</v>
      </c>
      <c r="E18" s="278">
        <v>650000</v>
      </c>
      <c r="F18" s="44"/>
      <c r="G18" s="44">
        <f>SUM(E18:F18)</f>
        <v>650000</v>
      </c>
    </row>
    <row r="19" spans="1:7" s="276" customFormat="1" ht="13.5">
      <c r="A19" s="273" t="s">
        <v>323</v>
      </c>
      <c r="B19" s="274" t="s">
        <v>487</v>
      </c>
      <c r="C19" s="275">
        <f>SUM('4.számú melléklet'!C73)</f>
        <v>975389</v>
      </c>
      <c r="D19" s="275">
        <f>SUM('4.számú melléklet'!D73)</f>
        <v>975389</v>
      </c>
      <c r="E19" s="275">
        <f>SUM('4.számú melléklet'!E73)</f>
        <v>975389</v>
      </c>
      <c r="F19" s="275">
        <f>SUM('4.számú melléklet'!F73)</f>
        <v>0</v>
      </c>
      <c r="G19" s="275">
        <f>SUM('4.számú melléklet'!G73)</f>
        <v>975389</v>
      </c>
    </row>
    <row r="20" spans="1:7" s="276" customFormat="1" ht="27">
      <c r="A20" s="273" t="s">
        <v>328</v>
      </c>
      <c r="B20" s="274" t="s">
        <v>197</v>
      </c>
      <c r="C20" s="275">
        <f>SUM('4.számú melléklet'!C74)</f>
        <v>3500</v>
      </c>
      <c r="D20" s="275">
        <f>SUM('4.számú melléklet'!D74)</f>
        <v>3500</v>
      </c>
      <c r="E20" s="275">
        <f>SUM('4.számú melléklet'!E74)</f>
        <v>3500</v>
      </c>
      <c r="F20" s="275">
        <f>SUM('4.számú melléklet'!F74)</f>
        <v>0</v>
      </c>
      <c r="G20" s="275">
        <f>SUM('4.számú melléklet'!G74)</f>
        <v>3500</v>
      </c>
    </row>
    <row r="21" spans="1:7" ht="12.75">
      <c r="A21" s="130" t="s">
        <v>188</v>
      </c>
      <c r="B21" s="191" t="s">
        <v>214</v>
      </c>
      <c r="C21" s="278">
        <v>219700</v>
      </c>
      <c r="D21" s="278">
        <v>219700</v>
      </c>
      <c r="E21" s="278">
        <v>219700</v>
      </c>
      <c r="F21" s="44">
        <v>0</v>
      </c>
      <c r="G21" s="44">
        <f aca="true" t="shared" si="0" ref="G21:G26">SUM(E21:F21)</f>
        <v>219700</v>
      </c>
    </row>
    <row r="22" spans="1:7" ht="12.75">
      <c r="A22" s="130" t="s">
        <v>189</v>
      </c>
      <c r="B22" s="191" t="s">
        <v>225</v>
      </c>
      <c r="C22" s="278">
        <v>63860</v>
      </c>
      <c r="D22" s="278">
        <v>63860</v>
      </c>
      <c r="E22" s="278">
        <v>63860</v>
      </c>
      <c r="F22" s="44">
        <v>0</v>
      </c>
      <c r="G22" s="44">
        <f t="shared" si="0"/>
        <v>63860</v>
      </c>
    </row>
    <row r="23" spans="1:7" ht="12.75">
      <c r="A23" s="130" t="s">
        <v>190</v>
      </c>
      <c r="B23" s="191" t="s">
        <v>43</v>
      </c>
      <c r="C23" s="278">
        <v>280000</v>
      </c>
      <c r="D23" s="278">
        <v>280000</v>
      </c>
      <c r="E23" s="278">
        <v>280000</v>
      </c>
      <c r="F23" s="44">
        <v>0</v>
      </c>
      <c r="G23" s="44">
        <f t="shared" si="0"/>
        <v>280000</v>
      </c>
    </row>
    <row r="24" spans="1:7" ht="12.75">
      <c r="A24" s="130" t="s">
        <v>191</v>
      </c>
      <c r="B24" s="191" t="s">
        <v>326</v>
      </c>
      <c r="C24" s="278">
        <v>27500</v>
      </c>
      <c r="D24" s="278">
        <v>27500</v>
      </c>
      <c r="E24" s="278">
        <v>27500</v>
      </c>
      <c r="F24" s="44">
        <v>0</v>
      </c>
      <c r="G24" s="44">
        <f t="shared" si="0"/>
        <v>27500</v>
      </c>
    </row>
    <row r="25" spans="1:7" ht="12.75">
      <c r="A25" s="130" t="s">
        <v>324</v>
      </c>
      <c r="B25" s="191" t="s">
        <v>156</v>
      </c>
      <c r="C25" s="278">
        <v>0</v>
      </c>
      <c r="D25" s="278">
        <v>0</v>
      </c>
      <c r="E25" s="278">
        <v>0</v>
      </c>
      <c r="F25" s="44">
        <v>0</v>
      </c>
      <c r="G25" s="44">
        <f t="shared" si="0"/>
        <v>0</v>
      </c>
    </row>
    <row r="26" spans="1:7" ht="12.75">
      <c r="A26" s="130" t="s">
        <v>325</v>
      </c>
      <c r="B26" s="191" t="s">
        <v>306</v>
      </c>
      <c r="C26" s="278">
        <v>0</v>
      </c>
      <c r="D26" s="278">
        <v>0</v>
      </c>
      <c r="E26" s="278">
        <v>0</v>
      </c>
      <c r="F26" s="44">
        <v>0</v>
      </c>
      <c r="G26" s="44">
        <f t="shared" si="0"/>
        <v>0</v>
      </c>
    </row>
    <row r="27" spans="1:7" s="276" customFormat="1" ht="12.75" customHeight="1">
      <c r="A27" s="273" t="s">
        <v>330</v>
      </c>
      <c r="B27" s="274" t="s">
        <v>488</v>
      </c>
      <c r="C27" s="275">
        <f>SUM('4.számú melléklet'!C75)</f>
        <v>591060</v>
      </c>
      <c r="D27" s="275">
        <f>SUM('4.számú melléklet'!D75)</f>
        <v>591060</v>
      </c>
      <c r="E27" s="275">
        <f>SUM('4.számú melléklet'!E75)</f>
        <v>591060</v>
      </c>
      <c r="F27" s="275">
        <f>SUM('4.számú melléklet'!F75)</f>
        <v>0</v>
      </c>
      <c r="G27" s="275">
        <f>SUM('4.számú melléklet'!G75)</f>
        <v>591060</v>
      </c>
    </row>
    <row r="28" spans="1:7" s="276" customFormat="1" ht="25.5" customHeight="1">
      <c r="A28" s="273" t="s">
        <v>329</v>
      </c>
      <c r="B28" s="274" t="s">
        <v>436</v>
      </c>
      <c r="C28" s="275">
        <f>SUM(C16,C19,C27,C20)</f>
        <v>7691621</v>
      </c>
      <c r="D28" s="275">
        <f>SUM(D16,D19,D27,D20)</f>
        <v>7691621</v>
      </c>
      <c r="E28" s="275">
        <f>SUM(E16,E19,E27,E20)</f>
        <v>7691621</v>
      </c>
      <c r="F28" s="275">
        <f>SUM(F16,F19,F27,F20)</f>
        <v>0</v>
      </c>
      <c r="G28" s="275">
        <f>SUM(G16,G19,G27,G20)</f>
        <v>7691621</v>
      </c>
    </row>
    <row r="29" spans="1:7" s="126" customFormat="1" ht="25.5">
      <c r="A29" s="129" t="s">
        <v>335</v>
      </c>
      <c r="B29" s="192" t="s">
        <v>348</v>
      </c>
      <c r="C29" s="277">
        <v>37746</v>
      </c>
      <c r="D29" s="277">
        <v>37746</v>
      </c>
      <c r="E29" s="277">
        <v>37746</v>
      </c>
      <c r="F29" s="117">
        <v>0</v>
      </c>
      <c r="G29" s="117">
        <f>SUM(E29:F29)</f>
        <v>37746</v>
      </c>
    </row>
    <row r="30" spans="1:7" ht="12.75">
      <c r="A30" s="130" t="s">
        <v>327</v>
      </c>
      <c r="B30" s="191" t="s">
        <v>332</v>
      </c>
      <c r="C30" s="278">
        <v>208050</v>
      </c>
      <c r="D30" s="278">
        <v>208050</v>
      </c>
      <c r="E30" s="278">
        <v>208050</v>
      </c>
      <c r="F30" s="44">
        <v>0</v>
      </c>
      <c r="G30" s="44">
        <f>SUM(E30:F30)</f>
        <v>208050</v>
      </c>
    </row>
    <row r="31" spans="1:7" ht="12.75">
      <c r="A31" s="130" t="s">
        <v>331</v>
      </c>
      <c r="B31" s="191" t="s">
        <v>41</v>
      </c>
      <c r="C31" s="278">
        <v>0</v>
      </c>
      <c r="D31" s="278">
        <v>0</v>
      </c>
      <c r="E31" s="278">
        <v>0</v>
      </c>
      <c r="F31" s="44">
        <v>0</v>
      </c>
      <c r="G31" s="44">
        <f>SUM(E31:F31)</f>
        <v>0</v>
      </c>
    </row>
    <row r="32" spans="1:7" s="276" customFormat="1" ht="27">
      <c r="A32" s="273" t="s">
        <v>339</v>
      </c>
      <c r="B32" s="274" t="s">
        <v>489</v>
      </c>
      <c r="C32" s="275">
        <f>SUM(C30:C31)</f>
        <v>208050</v>
      </c>
      <c r="D32" s="275">
        <f>SUM(D30:D31)</f>
        <v>208050</v>
      </c>
      <c r="E32" s="275">
        <f>SUM(E30:E31)</f>
        <v>208050</v>
      </c>
      <c r="F32" s="275">
        <f>SUM(F30:F31)</f>
        <v>0</v>
      </c>
      <c r="G32" s="275">
        <f>SUM(G30:G31)</f>
        <v>208050</v>
      </c>
    </row>
    <row r="33" spans="1:7" s="276" customFormat="1" ht="13.5">
      <c r="A33" s="273" t="s">
        <v>439</v>
      </c>
      <c r="B33" s="274" t="s">
        <v>415</v>
      </c>
      <c r="C33" s="281">
        <v>0</v>
      </c>
      <c r="D33" s="281">
        <v>0</v>
      </c>
      <c r="E33" s="281">
        <v>0</v>
      </c>
      <c r="F33" s="275">
        <v>0</v>
      </c>
      <c r="G33" s="275">
        <v>0</v>
      </c>
    </row>
    <row r="34" spans="1:7" s="276" customFormat="1" ht="25.5" customHeight="1">
      <c r="A34" s="273" t="s">
        <v>340</v>
      </c>
      <c r="B34" s="274" t="s">
        <v>440</v>
      </c>
      <c r="C34" s="275">
        <f>SUM('3.számú melléklet'!C44+'4.számú melléklet'!C84)</f>
        <v>245796</v>
      </c>
      <c r="D34" s="275">
        <f>SUM('3.számú melléklet'!D44+'4.számú melléklet'!D84)</f>
        <v>245796</v>
      </c>
      <c r="E34" s="275">
        <f>SUM('3.számú melléklet'!E44+'4.számú melléklet'!E84)</f>
        <v>245796</v>
      </c>
      <c r="F34" s="275">
        <f>SUM('3.számú melléklet'!F44+'4.számú melléklet'!F84)</f>
        <v>0</v>
      </c>
      <c r="G34" s="275">
        <f>SUM('3.számú melléklet'!G44+'4.számú melléklet'!G84)</f>
        <v>245796</v>
      </c>
    </row>
    <row r="35" spans="1:7" ht="12.75">
      <c r="A35" s="130" t="s">
        <v>333</v>
      </c>
      <c r="B35" s="191" t="s">
        <v>198</v>
      </c>
      <c r="C35" s="278">
        <v>3101740</v>
      </c>
      <c r="D35" s="278">
        <v>3101740</v>
      </c>
      <c r="E35" s="278">
        <v>3086866</v>
      </c>
      <c r="F35" s="44">
        <v>-10518</v>
      </c>
      <c r="G35" s="44">
        <f>SUM(E35:F35)</f>
        <v>3076348</v>
      </c>
    </row>
    <row r="36" spans="1:7" ht="25.5">
      <c r="A36" s="130" t="s">
        <v>334</v>
      </c>
      <c r="B36" s="191" t="s">
        <v>129</v>
      </c>
      <c r="C36" s="278">
        <v>398024</v>
      </c>
      <c r="D36" s="278">
        <v>398024</v>
      </c>
      <c r="E36" s="278">
        <v>398024</v>
      </c>
      <c r="F36" s="44">
        <v>0</v>
      </c>
      <c r="G36" s="44">
        <f aca="true" t="shared" si="1" ref="G36:G44">SUM(E36:F36)</f>
        <v>398024</v>
      </c>
    </row>
    <row r="37" spans="1:7" ht="12.75">
      <c r="A37" s="130" t="s">
        <v>336</v>
      </c>
      <c r="B37" s="191" t="s">
        <v>114</v>
      </c>
      <c r="C37" s="278">
        <v>513593</v>
      </c>
      <c r="D37" s="278">
        <v>513593</v>
      </c>
      <c r="E37" s="278">
        <v>542934</v>
      </c>
      <c r="F37" s="44">
        <v>0</v>
      </c>
      <c r="G37" s="44">
        <f t="shared" si="1"/>
        <v>542934</v>
      </c>
    </row>
    <row r="38" spans="1:7" ht="12" customHeight="1">
      <c r="A38" s="130"/>
      <c r="B38" s="191" t="s">
        <v>461</v>
      </c>
      <c r="C38" s="278"/>
      <c r="D38" s="278"/>
      <c r="E38" s="278"/>
      <c r="F38" s="44"/>
      <c r="G38" s="44">
        <f t="shared" si="1"/>
        <v>0</v>
      </c>
    </row>
    <row r="39" spans="1:7" ht="25.5">
      <c r="A39" s="130"/>
      <c r="B39" s="196" t="s">
        <v>350</v>
      </c>
      <c r="C39" s="278">
        <v>95963</v>
      </c>
      <c r="D39" s="278">
        <v>95963</v>
      </c>
      <c r="E39" s="278">
        <v>95963</v>
      </c>
      <c r="F39" s="44">
        <v>0</v>
      </c>
      <c r="G39" s="44">
        <f t="shared" si="1"/>
        <v>95963</v>
      </c>
    </row>
    <row r="40" spans="1:7" ht="12" customHeight="1">
      <c r="A40" s="130"/>
      <c r="B40" s="279" t="s">
        <v>78</v>
      </c>
      <c r="C40" s="278">
        <v>413635</v>
      </c>
      <c r="D40" s="278">
        <v>413635</v>
      </c>
      <c r="E40" s="278">
        <v>413635</v>
      </c>
      <c r="F40" s="44">
        <v>0</v>
      </c>
      <c r="G40" s="44">
        <f t="shared" si="1"/>
        <v>413635</v>
      </c>
    </row>
    <row r="41" spans="1:7" ht="24" customHeight="1">
      <c r="A41" s="130"/>
      <c r="B41" s="279" t="s">
        <v>398</v>
      </c>
      <c r="C41" s="278">
        <v>3995</v>
      </c>
      <c r="D41" s="278">
        <v>3995</v>
      </c>
      <c r="E41" s="278">
        <v>3995</v>
      </c>
      <c r="F41" s="44">
        <v>0</v>
      </c>
      <c r="G41" s="44">
        <f t="shared" si="1"/>
        <v>3995</v>
      </c>
    </row>
    <row r="42" spans="1:7" ht="12.75">
      <c r="A42" s="130"/>
      <c r="B42" s="196" t="s">
        <v>615</v>
      </c>
      <c r="C42" s="278">
        <v>0</v>
      </c>
      <c r="D42" s="278">
        <v>0</v>
      </c>
      <c r="E42" s="278">
        <v>29341</v>
      </c>
      <c r="F42" s="44">
        <v>0</v>
      </c>
      <c r="G42" s="44">
        <f t="shared" si="1"/>
        <v>29341</v>
      </c>
    </row>
    <row r="43" spans="1:7" ht="12.75" customHeight="1">
      <c r="A43" s="130" t="s">
        <v>337</v>
      </c>
      <c r="B43" s="191" t="s">
        <v>460</v>
      </c>
      <c r="C43" s="278">
        <v>0</v>
      </c>
      <c r="D43" s="278">
        <v>0</v>
      </c>
      <c r="E43" s="278">
        <v>0</v>
      </c>
      <c r="F43" s="44">
        <v>0</v>
      </c>
      <c r="G43" s="44">
        <f t="shared" si="1"/>
        <v>0</v>
      </c>
    </row>
    <row r="44" spans="1:7" ht="12.75" customHeight="1">
      <c r="A44" s="130" t="s">
        <v>338</v>
      </c>
      <c r="B44" s="191" t="s">
        <v>158</v>
      </c>
      <c r="C44" s="278">
        <v>0</v>
      </c>
      <c r="D44" s="278">
        <v>0</v>
      </c>
      <c r="E44" s="278">
        <v>0</v>
      </c>
      <c r="F44" s="44">
        <v>0</v>
      </c>
      <c r="G44" s="44">
        <f t="shared" si="1"/>
        <v>0</v>
      </c>
    </row>
    <row r="45" spans="1:7" s="276" customFormat="1" ht="12.75" customHeight="1">
      <c r="A45" s="273" t="s">
        <v>105</v>
      </c>
      <c r="B45" s="274" t="s">
        <v>616</v>
      </c>
      <c r="C45" s="275">
        <f>SUM('4.számú melléklet'!C79,'4.számú melléklet'!C85)</f>
        <v>4013357</v>
      </c>
      <c r="D45" s="275">
        <f>SUM('4.számú melléklet'!D79,'4.számú melléklet'!D85)</f>
        <v>4013357</v>
      </c>
      <c r="E45" s="275">
        <f>SUM('4.számú melléklet'!E79,'4.számú melléklet'!E85)</f>
        <v>4027824</v>
      </c>
      <c r="F45" s="275">
        <f>SUM('4.számú melléklet'!F79,'4.számú melléklet'!F85)</f>
        <v>-10518</v>
      </c>
      <c r="G45" s="275">
        <f>SUM('4.számú melléklet'!G79,'4.számú melléklet'!G85)</f>
        <v>4017306</v>
      </c>
    </row>
    <row r="46" spans="1:7" ht="12.75">
      <c r="A46" s="130" t="s">
        <v>341</v>
      </c>
      <c r="B46" s="191" t="s">
        <v>107</v>
      </c>
      <c r="C46" s="278">
        <v>117567</v>
      </c>
      <c r="D46" s="278">
        <v>117567</v>
      </c>
      <c r="E46" s="278">
        <v>117567</v>
      </c>
      <c r="F46" s="44">
        <v>0</v>
      </c>
      <c r="G46" s="44">
        <f>SUM(E46:F46)</f>
        <v>117567</v>
      </c>
    </row>
    <row r="47" spans="1:7" ht="12.75">
      <c r="A47" s="269" t="s">
        <v>103</v>
      </c>
      <c r="B47" s="271" t="s">
        <v>368</v>
      </c>
      <c r="C47" s="280">
        <v>769784</v>
      </c>
      <c r="D47" s="280">
        <v>769784</v>
      </c>
      <c r="E47" s="280">
        <v>769784</v>
      </c>
      <c r="F47" s="193">
        <v>0</v>
      </c>
      <c r="G47" s="193">
        <f>SUM(E47:F47)</f>
        <v>769784</v>
      </c>
    </row>
    <row r="48" spans="1:7" ht="25.5">
      <c r="A48" s="269" t="s">
        <v>104</v>
      </c>
      <c r="B48" s="271" t="s">
        <v>62</v>
      </c>
      <c r="C48" s="280">
        <v>29310</v>
      </c>
      <c r="D48" s="280">
        <v>203424</v>
      </c>
      <c r="E48" s="280">
        <v>283064</v>
      </c>
      <c r="F48" s="775">
        <v>4511</v>
      </c>
      <c r="G48" s="193">
        <f>SUM(E48:F48)</f>
        <v>287575</v>
      </c>
    </row>
    <row r="49" spans="1:7" ht="12.75">
      <c r="A49" s="194"/>
      <c r="B49" s="285" t="s">
        <v>288</v>
      </c>
      <c r="C49" s="286">
        <v>0</v>
      </c>
      <c r="D49" s="286">
        <v>163300</v>
      </c>
      <c r="E49" s="286">
        <v>163300</v>
      </c>
      <c r="F49" s="776">
        <v>0</v>
      </c>
      <c r="G49" s="195">
        <f>SUM(E49:F49)</f>
        <v>163300</v>
      </c>
    </row>
    <row r="50" spans="1:7" ht="25.5">
      <c r="A50" s="130" t="s">
        <v>106</v>
      </c>
      <c r="B50" s="191" t="s">
        <v>44</v>
      </c>
      <c r="C50" s="278">
        <f>SUM('3.számú melléklet'!C40,'4.számú melléklet'!C78)</f>
        <v>0</v>
      </c>
      <c r="D50" s="278">
        <f>SUM('3.számú melléklet'!D40,'4.számú melléklet'!D78)</f>
        <v>2566</v>
      </c>
      <c r="E50" s="278">
        <f>SUM('3.számú melléklet'!E40,'4.számú melléklet'!E78)</f>
        <v>32197</v>
      </c>
      <c r="F50" s="278">
        <f>SUM('3.számú melléklet'!F40,'4.számú melléklet'!F78)</f>
        <v>0</v>
      </c>
      <c r="G50" s="195">
        <f>SUM(E50:F50)</f>
        <v>32197</v>
      </c>
    </row>
    <row r="51" spans="1:7" s="276" customFormat="1" ht="25.5" customHeight="1">
      <c r="A51" s="273" t="s">
        <v>442</v>
      </c>
      <c r="B51" s="274" t="s">
        <v>617</v>
      </c>
      <c r="C51" s="275">
        <f>SUM('3.számú melléklet'!C38+'3.számú melléklet'!C40+'4.számú melléklet'!C76+'4.számú melléklet'!C78)</f>
        <v>916661</v>
      </c>
      <c r="D51" s="275">
        <f>SUM('3.számú melléklet'!D38+'3.számú melléklet'!D40+'4.számú melléklet'!D76+'4.számú melléklet'!D78)</f>
        <v>1093341</v>
      </c>
      <c r="E51" s="275">
        <f>SUM('3.számú melléklet'!E38+'3.számú melléklet'!E40+'4.számú melléklet'!E76+'4.számú melléklet'!E78)</f>
        <v>1202612</v>
      </c>
      <c r="F51" s="275">
        <f>SUM('3.számú melléklet'!F38+'3.számú melléklet'!F40+'4.számú melléklet'!F76+'4.számú melléklet'!F78)</f>
        <v>4511</v>
      </c>
      <c r="G51" s="275">
        <f>SUM('3.számú melléklet'!G38+'3.számú melléklet'!G40+'4.számú melléklet'!G76+'4.számú melléklet'!G78)</f>
        <v>1207123</v>
      </c>
    </row>
    <row r="52" spans="1:7" ht="12.75" customHeight="1">
      <c r="A52" s="269" t="s">
        <v>108</v>
      </c>
      <c r="B52" s="271" t="s">
        <v>63</v>
      </c>
      <c r="C52" s="193">
        <f>SUM('3.számú melléklet'!C41+'4.számú melléklet'!C81)</f>
        <v>0</v>
      </c>
      <c r="D52" s="193">
        <f>SUM('3.számú melléklet'!D41+'4.számú melléklet'!D81)</f>
        <v>50000</v>
      </c>
      <c r="E52" s="193">
        <v>86810</v>
      </c>
      <c r="F52" s="193">
        <f>SUM('3.számú melléklet'!F41+'4.számú melléklet'!F81)</f>
        <v>0</v>
      </c>
      <c r="G52" s="193">
        <f>SUM('3.számú melléklet'!G41+'4.számú melléklet'!G81)</f>
        <v>86810</v>
      </c>
    </row>
    <row r="53" spans="1:7" ht="12.75" customHeight="1">
      <c r="A53" s="194"/>
      <c r="B53" s="285" t="s">
        <v>288</v>
      </c>
      <c r="C53" s="195">
        <f>SUM('3.számú melléklet'!C42+'4.számú melléklet'!C82)</f>
        <v>0</v>
      </c>
      <c r="D53" s="195">
        <f>SUM('3.számú melléklet'!D42+'4.számú melléklet'!D82)</f>
        <v>50000</v>
      </c>
      <c r="E53" s="195">
        <v>50000</v>
      </c>
      <c r="F53" s="195">
        <f>SUM('3.számú melléklet'!F42+'4.számú melléklet'!F82)</f>
        <v>0</v>
      </c>
      <c r="G53" s="195">
        <f>SUM('3.számú melléklet'!G42+'4.számú melléklet'!G82)</f>
        <v>50000</v>
      </c>
    </row>
    <row r="54" spans="1:7" ht="25.5" customHeight="1">
      <c r="A54" s="130" t="s">
        <v>369</v>
      </c>
      <c r="B54" s="191" t="s">
        <v>45</v>
      </c>
      <c r="C54" s="44">
        <f>SUM('3.számú melléklet'!C43+'4.számú melléklet'!C83)</f>
        <v>0</v>
      </c>
      <c r="D54" s="44">
        <f>SUM('3.számú melléklet'!D43+'4.számú melléklet'!D83)</f>
        <v>96234</v>
      </c>
      <c r="E54" s="44">
        <v>245497</v>
      </c>
      <c r="F54" s="44">
        <f>SUM('3.számú melléklet'!F43+'4.számú melléklet'!F83)</f>
        <v>1000</v>
      </c>
      <c r="G54" s="44">
        <f>SUM('3.számú melléklet'!G43+'4.számú melléklet'!G83)</f>
        <v>246497</v>
      </c>
    </row>
    <row r="55" spans="1:7" s="276" customFormat="1" ht="24.75" customHeight="1">
      <c r="A55" s="273" t="s">
        <v>80</v>
      </c>
      <c r="B55" s="274" t="s">
        <v>618</v>
      </c>
      <c r="C55" s="275">
        <f>SUM(C52,C54)</f>
        <v>0</v>
      </c>
      <c r="D55" s="275">
        <f>SUM(D52,D54)</f>
        <v>146234</v>
      </c>
      <c r="E55" s="275">
        <f>SUM(E52,E54)</f>
        <v>332307</v>
      </c>
      <c r="F55" s="275">
        <f>SUM(F52,F54)</f>
        <v>1000</v>
      </c>
      <c r="G55" s="275">
        <f>SUM(G52,G54)</f>
        <v>333307</v>
      </c>
    </row>
    <row r="56" spans="1:7" s="276" customFormat="1" ht="13.5">
      <c r="A56" s="273" t="s">
        <v>373</v>
      </c>
      <c r="B56" s="274" t="s">
        <v>443</v>
      </c>
      <c r="C56" s="275">
        <f>SUM(C51,C55)</f>
        <v>916661</v>
      </c>
      <c r="D56" s="275">
        <f>SUM(D51,D55)</f>
        <v>1239575</v>
      </c>
      <c r="E56" s="275">
        <f>SUM(E51,E55)</f>
        <v>1534919</v>
      </c>
      <c r="F56" s="275">
        <f>SUM(F51,F55)</f>
        <v>5511</v>
      </c>
      <c r="G56" s="275">
        <f>SUM(G51,G55)</f>
        <v>1540430</v>
      </c>
    </row>
    <row r="57" spans="1:7" s="276" customFormat="1" ht="25.5" customHeight="1">
      <c r="A57" s="273" t="s">
        <v>411</v>
      </c>
      <c r="B57" s="274" t="s">
        <v>444</v>
      </c>
      <c r="C57" s="281">
        <f>SUM('4.számú melléklet'!C87)</f>
        <v>20395</v>
      </c>
      <c r="D57" s="281">
        <f>SUM('4.számú melléklet'!D87)</f>
        <v>20395</v>
      </c>
      <c r="E57" s="281">
        <f>SUM('4.számú melléklet'!E87)</f>
        <v>20395</v>
      </c>
      <c r="F57" s="281">
        <f>SUM('4.számú melléklet'!F87)</f>
        <v>0</v>
      </c>
      <c r="G57" s="281">
        <f>SUM('4.számú melléklet'!G87)</f>
        <v>20395</v>
      </c>
    </row>
    <row r="58" spans="1:7" s="276" customFormat="1" ht="13.5" customHeight="1">
      <c r="A58" s="273" t="s">
        <v>412</v>
      </c>
      <c r="B58" s="274" t="s">
        <v>46</v>
      </c>
      <c r="C58" s="281">
        <f>SUM('4.számú melléklet'!C88)</f>
        <v>0</v>
      </c>
      <c r="D58" s="281">
        <f>SUM('4.számú melléklet'!D88)</f>
        <v>0</v>
      </c>
      <c r="E58" s="281">
        <f>SUM('4.számú melléklet'!E88)</f>
        <v>0</v>
      </c>
      <c r="F58" s="281">
        <f>SUM('4.számú melléklet'!F88)</f>
        <v>0</v>
      </c>
      <c r="G58" s="281">
        <f>SUM('4.számú melléklet'!G88)</f>
        <v>0</v>
      </c>
    </row>
    <row r="59" spans="1:7" s="276" customFormat="1" ht="13.5" customHeight="1">
      <c r="A59" s="130" t="s">
        <v>370</v>
      </c>
      <c r="B59" s="191" t="s">
        <v>199</v>
      </c>
      <c r="C59" s="278">
        <v>0</v>
      </c>
      <c r="D59" s="278">
        <v>6531360</v>
      </c>
      <c r="E59" s="278">
        <v>6531359</v>
      </c>
      <c r="F59" s="44">
        <v>0</v>
      </c>
      <c r="G59" s="44">
        <f>SUM(E59:F59)</f>
        <v>6531359</v>
      </c>
    </row>
    <row r="60" spans="1:7" s="276" customFormat="1" ht="13.5" customHeight="1">
      <c r="A60" s="273" t="s">
        <v>263</v>
      </c>
      <c r="B60" s="274" t="s">
        <v>619</v>
      </c>
      <c r="C60" s="281">
        <f>SUM('3.számú melléklet'!C45,'4.számú melléklet'!C90)</f>
        <v>0</v>
      </c>
      <c r="D60" s="281">
        <f>SUM('3.számú melléklet'!D45,'4.számú melléklet'!D90)</f>
        <v>6531359</v>
      </c>
      <c r="E60" s="281">
        <f>SUM('3.számú melléklet'!E45,'4.számú melléklet'!E90)</f>
        <v>6531359</v>
      </c>
      <c r="F60" s="281">
        <f>SUM('3.számú melléklet'!F45,'4.számú melléklet'!F90)</f>
        <v>0</v>
      </c>
      <c r="G60" s="281">
        <f>SUM('3.számú melléklet'!G45,'4.számú melléklet'!G90)</f>
        <v>6531359</v>
      </c>
    </row>
    <row r="61" spans="1:7" s="276" customFormat="1" ht="13.5" customHeight="1">
      <c r="A61" s="273"/>
      <c r="B61" s="274" t="s">
        <v>624</v>
      </c>
      <c r="C61" s="281">
        <f>SUM(C13,C28,C34,C45,C56,C57,C58,C60)</f>
        <v>14110430</v>
      </c>
      <c r="D61" s="281">
        <f>SUM(D13,D28,D34,D45,D56,D57,D58,D60)</f>
        <v>20977160</v>
      </c>
      <c r="E61" s="281">
        <f>SUM(E13,E28,E34,E45,E56,E57,E58,E60)</f>
        <v>21288653</v>
      </c>
      <c r="F61" s="281">
        <f>SUM(F13,F28,F34,F45,F56,F57,F58,F60)</f>
        <v>1971</v>
      </c>
      <c r="G61" s="281">
        <f>SUM(G13,G28,G34,G45,G56,G57,G58,G60)</f>
        <v>21290624</v>
      </c>
    </row>
    <row r="62" spans="1:7" s="276" customFormat="1" ht="13.5">
      <c r="A62" s="130" t="s">
        <v>371</v>
      </c>
      <c r="B62" s="191" t="s">
        <v>206</v>
      </c>
      <c r="C62" s="278">
        <f>SUM('4.számú melléklet'!C92)</f>
        <v>0</v>
      </c>
      <c r="D62" s="278">
        <f>SUM('4.számú melléklet'!D92)</f>
        <v>0</v>
      </c>
      <c r="E62" s="278">
        <v>0</v>
      </c>
      <c r="F62" s="278">
        <f>SUM('4.számú melléklet'!F92)</f>
        <v>0</v>
      </c>
      <c r="G62" s="278">
        <f>SUM('4.számú melléklet'!G92)</f>
        <v>0</v>
      </c>
    </row>
    <row r="63" spans="1:7" s="276" customFormat="1" ht="13.5">
      <c r="A63" s="130" t="s">
        <v>372</v>
      </c>
      <c r="B63" s="191" t="s">
        <v>256</v>
      </c>
      <c r="C63" s="278">
        <f>SUM('4.számú melléklet'!C93)</f>
        <v>0</v>
      </c>
      <c r="D63" s="278">
        <f>SUM('4.számú melléklet'!D93)</f>
        <v>0</v>
      </c>
      <c r="E63" s="278">
        <v>0</v>
      </c>
      <c r="F63" s="278">
        <f>SUM('4.számú melléklet'!F93)</f>
        <v>0</v>
      </c>
      <c r="G63" s="278">
        <f>SUM('4.számú melléklet'!G93)</f>
        <v>0</v>
      </c>
    </row>
    <row r="64" spans="1:7" s="276" customFormat="1" ht="13.5">
      <c r="A64" s="130" t="s">
        <v>273</v>
      </c>
      <c r="B64" s="191" t="s">
        <v>287</v>
      </c>
      <c r="C64" s="278">
        <f>SUM('4.számú melléklet'!C94)</f>
        <v>0</v>
      </c>
      <c r="D64" s="278">
        <f>SUM('4.számú melléklet'!D94)</f>
        <v>0</v>
      </c>
      <c r="E64" s="278">
        <v>0</v>
      </c>
      <c r="F64" s="278">
        <f>SUM('4.számú melléklet'!F94)</f>
        <v>0</v>
      </c>
      <c r="G64" s="278">
        <f>SUM('4.számú melléklet'!G94)</f>
        <v>0</v>
      </c>
    </row>
    <row r="65" spans="1:7" s="276" customFormat="1" ht="13.5">
      <c r="A65" s="130" t="s">
        <v>261</v>
      </c>
      <c r="B65" s="191" t="s">
        <v>90</v>
      </c>
      <c r="C65" s="278">
        <f>SUM('4.számú melléklet'!C95)</f>
        <v>0</v>
      </c>
      <c r="D65" s="278">
        <f>SUM('4.számú melléklet'!D95)</f>
        <v>0</v>
      </c>
      <c r="E65" s="278">
        <v>0</v>
      </c>
      <c r="F65" s="278">
        <f>SUM('4.számú melléklet'!F95)</f>
        <v>0</v>
      </c>
      <c r="G65" s="278">
        <f>SUM('4.számú melléklet'!G95)</f>
        <v>0</v>
      </c>
    </row>
    <row r="66" spans="1:7" s="276" customFormat="1" ht="13.5">
      <c r="A66" s="856" t="s">
        <v>437</v>
      </c>
      <c r="B66" s="282" t="s">
        <v>115</v>
      </c>
      <c r="C66" s="280">
        <f>SUM('4.számú melléklet'!C96)</f>
        <v>2835600</v>
      </c>
      <c r="D66" s="280">
        <f>SUM('4.számú melléklet'!D96)</f>
        <v>1997045</v>
      </c>
      <c r="E66" s="280">
        <f>SUM('4.számú melléklet'!E96)</f>
        <v>2069504</v>
      </c>
      <c r="F66" s="280">
        <f>SUM('4.számú melléklet'!F96)</f>
        <v>130276</v>
      </c>
      <c r="G66" s="280">
        <f>SUM('4.számú melléklet'!G96)</f>
        <v>2199780</v>
      </c>
    </row>
    <row r="67" spans="1:7" s="126" customFormat="1" ht="12.75" customHeight="1">
      <c r="A67" s="857"/>
      <c r="B67" s="287" t="s">
        <v>628</v>
      </c>
      <c r="C67" s="195">
        <v>909768</v>
      </c>
      <c r="D67" s="195">
        <v>0</v>
      </c>
      <c r="E67" s="195">
        <v>0</v>
      </c>
      <c r="F67" s="195">
        <v>0</v>
      </c>
      <c r="G67" s="195">
        <v>0</v>
      </c>
    </row>
    <row r="68" spans="1:7" s="126" customFormat="1" ht="12.75" customHeight="1">
      <c r="A68" s="194" t="s">
        <v>438</v>
      </c>
      <c r="B68" s="287" t="s">
        <v>137</v>
      </c>
      <c r="C68" s="195">
        <v>0</v>
      </c>
      <c r="D68" s="195">
        <v>0</v>
      </c>
      <c r="E68" s="195">
        <v>0</v>
      </c>
      <c r="F68" s="195">
        <v>0</v>
      </c>
      <c r="G68" s="195">
        <v>0</v>
      </c>
    </row>
    <row r="69" spans="1:7" s="276" customFormat="1" ht="13.5">
      <c r="A69" s="283" t="s">
        <v>112</v>
      </c>
      <c r="B69" s="274" t="s">
        <v>623</v>
      </c>
      <c r="C69" s="281">
        <f>SUM(C62:C66,C68)</f>
        <v>2835600</v>
      </c>
      <c r="D69" s="281">
        <f>SUM(D62:D66,D68)</f>
        <v>1997045</v>
      </c>
      <c r="E69" s="281">
        <f>SUM(E62:E66,E68)</f>
        <v>2069504</v>
      </c>
      <c r="F69" s="281">
        <f>SUM(F62:F66)</f>
        <v>130276</v>
      </c>
      <c r="G69" s="281">
        <f>SUM(G62:G66)</f>
        <v>2199780</v>
      </c>
    </row>
    <row r="70" spans="1:7" s="276" customFormat="1" ht="13.5">
      <c r="A70" s="273"/>
      <c r="B70" s="274" t="s">
        <v>631</v>
      </c>
      <c r="C70" s="281">
        <f>SUM(C61,C69)</f>
        <v>16946030</v>
      </c>
      <c r="D70" s="281">
        <f>SUM(D61,D69)</f>
        <v>22974205</v>
      </c>
      <c r="E70" s="281">
        <f>SUM(E61,E69)</f>
        <v>23358157</v>
      </c>
      <c r="F70" s="281">
        <f>SUM(F61,F69)</f>
        <v>132247</v>
      </c>
      <c r="G70" s="281">
        <f>SUM(G61,G69)</f>
        <v>23490404</v>
      </c>
    </row>
    <row r="71" spans="1:7" s="276" customFormat="1" ht="25.5" customHeight="1">
      <c r="A71" s="273" t="s">
        <v>113</v>
      </c>
      <c r="B71" s="274" t="s">
        <v>205</v>
      </c>
      <c r="C71" s="275">
        <f>SUM('3.számú melléklet'!C47)</f>
        <v>7171759</v>
      </c>
      <c r="D71" s="275">
        <f>SUM('3.számú melléklet'!D47)</f>
        <v>7932503</v>
      </c>
      <c r="E71" s="275">
        <f>SUM('3.számú melléklet'!E47)</f>
        <v>7939942</v>
      </c>
      <c r="F71" s="275">
        <f>SUM('3.számú melléklet'!F47)</f>
        <v>584681</v>
      </c>
      <c r="G71" s="275">
        <f>SUM('3.számú melléklet'!G47)</f>
        <v>8524623</v>
      </c>
    </row>
    <row r="72" spans="1:7" s="276" customFormat="1" ht="27.75" customHeight="1">
      <c r="A72" s="273" t="s">
        <v>291</v>
      </c>
      <c r="B72" s="274" t="s">
        <v>293</v>
      </c>
      <c r="C72" s="275">
        <f>SUM('3.számú melléklet'!C47)*-1</f>
        <v>-7171759</v>
      </c>
      <c r="D72" s="275">
        <f>SUM('3.számú melléklet'!D47)*-1</f>
        <v>-7932503</v>
      </c>
      <c r="E72" s="275">
        <f>SUM('3.számú melléklet'!E47)*-1</f>
        <v>-7939942</v>
      </c>
      <c r="F72" s="275">
        <f>SUM('3.számú melléklet'!F47)*-1</f>
        <v>-584681</v>
      </c>
      <c r="G72" s="275">
        <f>SUM('3.számú melléklet'!G47)*-1</f>
        <v>-8524623</v>
      </c>
    </row>
    <row r="73" spans="1:7" s="276" customFormat="1" ht="15" customHeight="1">
      <c r="A73" s="273"/>
      <c r="B73" s="274" t="s">
        <v>632</v>
      </c>
      <c r="C73" s="275">
        <f>SUM(C70:C72)</f>
        <v>16946030</v>
      </c>
      <c r="D73" s="275">
        <f>SUM(D70:D72)</f>
        <v>22974205</v>
      </c>
      <c r="E73" s="275">
        <f>SUM(E70:E72)</f>
        <v>23358157</v>
      </c>
      <c r="F73" s="275">
        <f>SUM(F70:F72)</f>
        <v>132247</v>
      </c>
      <c r="G73" s="275">
        <f>SUM(G70:G72)</f>
        <v>23490404</v>
      </c>
    </row>
  </sheetData>
  <sheetProtection/>
  <mergeCells count="3">
    <mergeCell ref="A66:A67"/>
    <mergeCell ref="A2:G2"/>
    <mergeCell ref="A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&amp;C&amp;P&amp;R&amp;"Times New Roman CE,Normál"1.számú melléklet
</oddHeader>
    <oddFooter>&amp;L&amp;"Times New Roman CE,Normál"&amp;8&amp;F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/>
  <dimension ref="A1:H51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4.28125" style="4" customWidth="1"/>
    <col min="2" max="2" width="38.57421875" style="6" customWidth="1"/>
    <col min="3" max="3" width="9.8515625" style="6" customWidth="1"/>
    <col min="4" max="4" width="12.00390625" style="6" customWidth="1"/>
    <col min="5" max="5" width="11.8515625" style="6" customWidth="1"/>
    <col min="6" max="6" width="9.00390625" style="83" customWidth="1"/>
    <col min="7" max="7" width="12.28125" style="5" customWidth="1"/>
    <col min="8" max="16384" width="8.8515625" style="1" customWidth="1"/>
  </cols>
  <sheetData>
    <row r="1" spans="1:7" ht="15.75">
      <c r="A1" s="850" t="s">
        <v>285</v>
      </c>
      <c r="B1" s="851"/>
      <c r="C1" s="851"/>
      <c r="D1" s="851"/>
      <c r="E1" s="851"/>
      <c r="F1" s="851"/>
      <c r="G1" s="851"/>
    </row>
    <row r="2" spans="1:7" ht="15.75">
      <c r="A2" s="852" t="s">
        <v>484</v>
      </c>
      <c r="B2" s="853"/>
      <c r="C2" s="853"/>
      <c r="D2" s="853"/>
      <c r="E2" s="853"/>
      <c r="F2" s="853"/>
      <c r="G2" s="853"/>
    </row>
    <row r="3" spans="1:7" ht="15.75">
      <c r="A3" s="840" t="s">
        <v>266</v>
      </c>
      <c r="B3" s="853"/>
      <c r="C3" s="853"/>
      <c r="D3" s="853"/>
      <c r="E3" s="853"/>
      <c r="F3" s="853"/>
      <c r="G3" s="853"/>
    </row>
    <row r="4" spans="1:7" ht="15.75">
      <c r="A4" s="841" t="s">
        <v>207</v>
      </c>
      <c r="B4" s="853"/>
      <c r="C4" s="853"/>
      <c r="D4" s="853"/>
      <c r="E4" s="853"/>
      <c r="F4" s="853"/>
      <c r="G4" s="853"/>
    </row>
    <row r="5" spans="1:7" s="699" customFormat="1" ht="15.75" customHeight="1">
      <c r="A5" s="695"/>
      <c r="B5" s="696"/>
      <c r="C5" s="696"/>
      <c r="D5" s="696"/>
      <c r="E5" s="696"/>
      <c r="F5" s="697"/>
      <c r="G5" s="698" t="s">
        <v>377</v>
      </c>
    </row>
    <row r="6" spans="1:7" s="701" customFormat="1" ht="39.75" customHeight="1">
      <c r="A6" s="700" t="s">
        <v>215</v>
      </c>
      <c r="B6" s="691" t="s">
        <v>378</v>
      </c>
      <c r="C6" s="557" t="s">
        <v>297</v>
      </c>
      <c r="D6" s="558" t="s">
        <v>570</v>
      </c>
      <c r="E6" s="558" t="s">
        <v>636</v>
      </c>
      <c r="F6" s="555" t="s">
        <v>572</v>
      </c>
      <c r="G6" s="558" t="s">
        <v>716</v>
      </c>
    </row>
    <row r="7" spans="1:7" s="701" customFormat="1" ht="12" customHeight="1">
      <c r="A7" s="691" t="s">
        <v>208</v>
      </c>
      <c r="B7" s="702" t="s">
        <v>209</v>
      </c>
      <c r="C7" s="702" t="s">
        <v>210</v>
      </c>
      <c r="D7" s="702" t="s">
        <v>182</v>
      </c>
      <c r="E7" s="702" t="s">
        <v>183</v>
      </c>
      <c r="F7" s="702" t="s">
        <v>184</v>
      </c>
      <c r="G7" s="702" t="s">
        <v>185</v>
      </c>
    </row>
    <row r="8" spans="1:7" s="2" customFormat="1" ht="12" customHeight="1">
      <c r="A8" s="26"/>
      <c r="B8" s="58" t="s">
        <v>192</v>
      </c>
      <c r="C8" s="84">
        <v>379.5</v>
      </c>
      <c r="D8" s="84">
        <v>379.5</v>
      </c>
      <c r="E8" s="84">
        <v>379.5</v>
      </c>
      <c r="F8" s="84">
        <v>3</v>
      </c>
      <c r="G8" s="84">
        <f>SUM(E8:F8)</f>
        <v>382.5</v>
      </c>
    </row>
    <row r="9" spans="1:7" s="78" customFormat="1" ht="12" customHeight="1">
      <c r="A9" s="76"/>
      <c r="B9" s="77" t="s">
        <v>166</v>
      </c>
      <c r="C9" s="82"/>
      <c r="D9" s="82"/>
      <c r="E9" s="82"/>
      <c r="F9" s="82"/>
      <c r="G9" s="82"/>
    </row>
    <row r="10" spans="1:7" s="3" customFormat="1" ht="12" customHeight="1">
      <c r="A10" s="27" t="s">
        <v>208</v>
      </c>
      <c r="B10" s="55" t="s">
        <v>167</v>
      </c>
      <c r="C10" s="68">
        <v>776836</v>
      </c>
      <c r="D10" s="68">
        <v>793807</v>
      </c>
      <c r="E10" s="68">
        <v>795367</v>
      </c>
      <c r="F10" s="68">
        <v>23713</v>
      </c>
      <c r="G10" s="68">
        <f>SUM(E10:F10)</f>
        <v>819080</v>
      </c>
    </row>
    <row r="11" spans="1:7" s="3" customFormat="1" ht="12" customHeight="1">
      <c r="A11" s="27" t="s">
        <v>209</v>
      </c>
      <c r="B11" s="56" t="s">
        <v>168</v>
      </c>
      <c r="C11" s="68">
        <f>SUM(C12:C15)</f>
        <v>245084</v>
      </c>
      <c r="D11" s="68">
        <f>SUM(D12:D15)</f>
        <v>249088</v>
      </c>
      <c r="E11" s="68">
        <f>SUM(E12:E15)</f>
        <v>249587</v>
      </c>
      <c r="F11" s="68">
        <f>SUM(F12:F15)</f>
        <v>7960</v>
      </c>
      <c r="G11" s="68">
        <f aca="true" t="shared" si="0" ref="G11:G50">SUM(E11:F11)</f>
        <v>257547</v>
      </c>
    </row>
    <row r="12" spans="1:7" s="3" customFormat="1" ht="12" customHeight="1">
      <c r="A12" s="27"/>
      <c r="B12" s="53" t="s">
        <v>308</v>
      </c>
      <c r="C12" s="68">
        <v>211133</v>
      </c>
      <c r="D12" s="68">
        <v>214776</v>
      </c>
      <c r="E12" s="68">
        <v>215228</v>
      </c>
      <c r="F12" s="68">
        <v>6868</v>
      </c>
      <c r="G12" s="68">
        <f t="shared" si="0"/>
        <v>222096</v>
      </c>
    </row>
    <row r="13" spans="1:7" s="3" customFormat="1" ht="12" customHeight="1">
      <c r="A13" s="27"/>
      <c r="B13" s="53" t="s">
        <v>67</v>
      </c>
      <c r="C13" s="68">
        <v>21720</v>
      </c>
      <c r="D13" s="68">
        <v>22081</v>
      </c>
      <c r="E13" s="68">
        <v>22128</v>
      </c>
      <c r="F13" s="68">
        <v>1092</v>
      </c>
      <c r="G13" s="68">
        <f t="shared" si="0"/>
        <v>23220</v>
      </c>
    </row>
    <row r="14" spans="1:7" s="3" customFormat="1" ht="12" customHeight="1">
      <c r="A14" s="27"/>
      <c r="B14" s="53" t="s">
        <v>68</v>
      </c>
      <c r="C14" s="68">
        <v>8882</v>
      </c>
      <c r="D14" s="68">
        <v>8882</v>
      </c>
      <c r="E14" s="68">
        <v>8882</v>
      </c>
      <c r="F14" s="68">
        <v>0</v>
      </c>
      <c r="G14" s="68">
        <f t="shared" si="0"/>
        <v>8882</v>
      </c>
    </row>
    <row r="15" spans="1:7" s="3" customFormat="1" ht="12" customHeight="1">
      <c r="A15" s="27"/>
      <c r="B15" s="53" t="s">
        <v>307</v>
      </c>
      <c r="C15" s="68">
        <v>3349</v>
      </c>
      <c r="D15" s="68">
        <v>3349</v>
      </c>
      <c r="E15" s="68">
        <v>3349</v>
      </c>
      <c r="F15" s="68">
        <v>0</v>
      </c>
      <c r="G15" s="68">
        <f t="shared" si="0"/>
        <v>3349</v>
      </c>
    </row>
    <row r="16" spans="1:7" s="3" customFormat="1" ht="12" customHeight="1">
      <c r="A16" s="27" t="s">
        <v>210</v>
      </c>
      <c r="B16" s="55" t="s">
        <v>169</v>
      </c>
      <c r="C16" s="68">
        <v>537245</v>
      </c>
      <c r="D16" s="68">
        <v>595760</v>
      </c>
      <c r="E16" s="68">
        <v>585173</v>
      </c>
      <c r="F16" s="68">
        <v>-8195</v>
      </c>
      <c r="G16" s="68">
        <f t="shared" si="0"/>
        <v>576978</v>
      </c>
    </row>
    <row r="17" spans="1:7" s="2" customFormat="1" ht="24" customHeight="1">
      <c r="A17" s="26" t="s">
        <v>182</v>
      </c>
      <c r="B17" s="59" t="s">
        <v>64</v>
      </c>
      <c r="C17" s="60">
        <f>SUM(C18,C20)</f>
        <v>0</v>
      </c>
      <c r="D17" s="60">
        <f>SUM(D18,D20)</f>
        <v>47328</v>
      </c>
      <c r="E17" s="60">
        <f>SUM(E18,E20)</f>
        <v>47328</v>
      </c>
      <c r="F17" s="60">
        <f>SUM(F18,F20)</f>
        <v>0</v>
      </c>
      <c r="G17" s="93">
        <f t="shared" si="0"/>
        <v>47328</v>
      </c>
    </row>
    <row r="18" spans="1:7" s="3" customFormat="1" ht="12" customHeight="1">
      <c r="A18" s="96"/>
      <c r="B18" s="103" t="s">
        <v>60</v>
      </c>
      <c r="C18" s="69">
        <v>0</v>
      </c>
      <c r="D18" s="127">
        <v>47328</v>
      </c>
      <c r="E18" s="127">
        <v>47328</v>
      </c>
      <c r="F18" s="127">
        <v>0</v>
      </c>
      <c r="G18" s="69">
        <f t="shared" si="0"/>
        <v>47328</v>
      </c>
    </row>
    <row r="19" spans="1:7" s="3" customFormat="1" ht="12" customHeight="1">
      <c r="A19" s="94"/>
      <c r="B19" s="104" t="s">
        <v>288</v>
      </c>
      <c r="C19" s="70">
        <v>0</v>
      </c>
      <c r="D19" s="128">
        <v>47328</v>
      </c>
      <c r="E19" s="128">
        <v>47328</v>
      </c>
      <c r="F19" s="128">
        <v>0</v>
      </c>
      <c r="G19" s="70">
        <f t="shared" si="0"/>
        <v>47328</v>
      </c>
    </row>
    <row r="20" spans="1:7" s="3" customFormat="1" ht="24" customHeight="1">
      <c r="A20" s="27"/>
      <c r="B20" s="105" t="s">
        <v>470</v>
      </c>
      <c r="C20" s="68">
        <v>0</v>
      </c>
      <c r="D20" s="68">
        <v>0</v>
      </c>
      <c r="E20" s="68">
        <v>0</v>
      </c>
      <c r="F20" s="68">
        <v>0</v>
      </c>
      <c r="G20" s="70">
        <f t="shared" si="0"/>
        <v>0</v>
      </c>
    </row>
    <row r="21" spans="1:7" s="3" customFormat="1" ht="12" customHeight="1">
      <c r="A21" s="27" t="s">
        <v>183</v>
      </c>
      <c r="B21" s="55" t="s">
        <v>250</v>
      </c>
      <c r="C21" s="68">
        <v>0</v>
      </c>
      <c r="D21" s="68">
        <v>0</v>
      </c>
      <c r="E21" s="68">
        <v>0</v>
      </c>
      <c r="F21" s="68">
        <v>0</v>
      </c>
      <c r="G21" s="68">
        <f t="shared" si="0"/>
        <v>0</v>
      </c>
    </row>
    <row r="22" spans="1:7" s="3" customFormat="1" ht="12" customHeight="1">
      <c r="A22" s="27" t="s">
        <v>184</v>
      </c>
      <c r="B22" s="55" t="s">
        <v>384</v>
      </c>
      <c r="C22" s="68">
        <v>0</v>
      </c>
      <c r="D22" s="68">
        <v>0</v>
      </c>
      <c r="E22" s="68">
        <v>0</v>
      </c>
      <c r="F22" s="68">
        <v>0</v>
      </c>
      <c r="G22" s="68">
        <f t="shared" si="0"/>
        <v>0</v>
      </c>
    </row>
    <row r="23" spans="1:7" s="80" customFormat="1" ht="13.5">
      <c r="A23" s="76" t="s">
        <v>80</v>
      </c>
      <c r="B23" s="77" t="s">
        <v>309</v>
      </c>
      <c r="C23" s="90">
        <f>SUM(C10,C11,C16,C17,C21,C22)</f>
        <v>1559165</v>
      </c>
      <c r="D23" s="90">
        <f>SUM(D10,D11,D16,D17,D21,D22)</f>
        <v>1685983</v>
      </c>
      <c r="E23" s="90">
        <f>SUM(E10,E11,E16,E17,E21,E22)</f>
        <v>1677455</v>
      </c>
      <c r="F23" s="90">
        <f>SUM(F10,F11,F16,F17,F21,F22)</f>
        <v>23478</v>
      </c>
      <c r="G23" s="67">
        <f t="shared" si="0"/>
        <v>1700933</v>
      </c>
    </row>
    <row r="24" spans="1:7" s="3" customFormat="1" ht="12" customHeight="1">
      <c r="A24" s="27" t="s">
        <v>185</v>
      </c>
      <c r="B24" s="55" t="s">
        <v>69</v>
      </c>
      <c r="C24" s="68">
        <v>0</v>
      </c>
      <c r="D24" s="68">
        <v>250196</v>
      </c>
      <c r="E24" s="68">
        <v>250196</v>
      </c>
      <c r="F24" s="68">
        <v>19476</v>
      </c>
      <c r="G24" s="68">
        <f t="shared" si="0"/>
        <v>269672</v>
      </c>
    </row>
    <row r="25" spans="1:7" s="3" customFormat="1" ht="12" customHeight="1">
      <c r="A25" s="27" t="s">
        <v>186</v>
      </c>
      <c r="B25" s="55" t="s">
        <v>72</v>
      </c>
      <c r="C25" s="68">
        <v>19000</v>
      </c>
      <c r="D25" s="68">
        <v>45988</v>
      </c>
      <c r="E25" s="68">
        <v>45988</v>
      </c>
      <c r="F25" s="68">
        <v>0</v>
      </c>
      <c r="G25" s="68">
        <f t="shared" si="0"/>
        <v>45988</v>
      </c>
    </row>
    <row r="26" spans="1:7" s="2" customFormat="1" ht="25.5" customHeight="1">
      <c r="A26" s="26" t="s">
        <v>187</v>
      </c>
      <c r="B26" s="59" t="s">
        <v>65</v>
      </c>
      <c r="C26" s="60">
        <f>SUM(C27,C29)</f>
        <v>0</v>
      </c>
      <c r="D26" s="60">
        <f>SUM(D27,D29)</f>
        <v>27516</v>
      </c>
      <c r="E26" s="60">
        <f>SUM(E27,E29)</f>
        <v>27516</v>
      </c>
      <c r="F26" s="60">
        <f>SUM(F27,F29)</f>
        <v>0</v>
      </c>
      <c r="G26" s="93">
        <f t="shared" si="0"/>
        <v>27516</v>
      </c>
    </row>
    <row r="27" spans="1:7" s="3" customFormat="1" ht="12" customHeight="1">
      <c r="A27" s="96"/>
      <c r="B27" s="103" t="s">
        <v>471</v>
      </c>
      <c r="C27" s="69">
        <v>0</v>
      </c>
      <c r="D27" s="127">
        <v>27516</v>
      </c>
      <c r="E27" s="127">
        <v>27516</v>
      </c>
      <c r="F27" s="127">
        <v>0</v>
      </c>
      <c r="G27" s="69">
        <f t="shared" si="0"/>
        <v>27516</v>
      </c>
    </row>
    <row r="28" spans="1:7" s="3" customFormat="1" ht="12" customHeight="1">
      <c r="A28" s="94"/>
      <c r="B28" s="104" t="s">
        <v>288</v>
      </c>
      <c r="C28" s="70">
        <v>0</v>
      </c>
      <c r="D28" s="128">
        <v>27516</v>
      </c>
      <c r="E28" s="128">
        <v>27516</v>
      </c>
      <c r="F28" s="128">
        <v>0</v>
      </c>
      <c r="G28" s="70">
        <f t="shared" si="0"/>
        <v>27516</v>
      </c>
    </row>
    <row r="29" spans="1:7" s="3" customFormat="1" ht="24" customHeight="1">
      <c r="A29" s="27"/>
      <c r="B29" s="105" t="s">
        <v>472</v>
      </c>
      <c r="C29" s="68">
        <v>0</v>
      </c>
      <c r="D29" s="68">
        <v>0</v>
      </c>
      <c r="E29" s="68">
        <v>0</v>
      </c>
      <c r="F29" s="68">
        <v>0</v>
      </c>
      <c r="G29" s="70">
        <f t="shared" si="0"/>
        <v>0</v>
      </c>
    </row>
    <row r="30" spans="1:7" s="78" customFormat="1" ht="12" customHeight="1">
      <c r="A30" s="76" t="s">
        <v>329</v>
      </c>
      <c r="B30" s="77" t="s">
        <v>310</v>
      </c>
      <c r="C30" s="67">
        <f>SUM(C24,C25,C26)</f>
        <v>19000</v>
      </c>
      <c r="D30" s="67">
        <f>SUM(D24,D25,D26)</f>
        <v>323700</v>
      </c>
      <c r="E30" s="67">
        <f>SUM(E24,E25,E26)</f>
        <v>323700</v>
      </c>
      <c r="F30" s="67">
        <f>SUM(F24,F25,F26)</f>
        <v>19476</v>
      </c>
      <c r="G30" s="67">
        <f t="shared" si="0"/>
        <v>343176</v>
      </c>
    </row>
    <row r="31" spans="1:7" s="78" customFormat="1" ht="13.5" customHeight="1">
      <c r="A31" s="76"/>
      <c r="B31" s="77" t="s">
        <v>128</v>
      </c>
      <c r="C31" s="67">
        <f>SUM(C23,C24:C26)</f>
        <v>1578165</v>
      </c>
      <c r="D31" s="67">
        <f>SUM(D23,D24:D26)</f>
        <v>2009683</v>
      </c>
      <c r="E31" s="67">
        <f>SUM(E23,E24:E26)</f>
        <v>2001155</v>
      </c>
      <c r="F31" s="67">
        <f>SUM(F23,F24:F26)</f>
        <v>42954</v>
      </c>
      <c r="G31" s="67">
        <f t="shared" si="0"/>
        <v>2044109</v>
      </c>
    </row>
    <row r="32" spans="1:7" s="78" customFormat="1" ht="12" customHeight="1">
      <c r="A32" s="76"/>
      <c r="B32" s="106" t="s">
        <v>311</v>
      </c>
      <c r="C32" s="68"/>
      <c r="D32" s="68"/>
      <c r="E32" s="68"/>
      <c r="F32" s="68"/>
      <c r="G32" s="68"/>
    </row>
    <row r="33" spans="1:7" s="78" customFormat="1" ht="12" customHeight="1">
      <c r="A33" s="27" t="s">
        <v>208</v>
      </c>
      <c r="B33" s="107" t="s">
        <v>234</v>
      </c>
      <c r="C33" s="68">
        <v>0</v>
      </c>
      <c r="D33" s="68">
        <v>0</v>
      </c>
      <c r="E33" s="68">
        <v>0</v>
      </c>
      <c r="F33" s="68">
        <v>0</v>
      </c>
      <c r="G33" s="68">
        <f t="shared" si="0"/>
        <v>0</v>
      </c>
    </row>
    <row r="34" spans="1:7" s="78" customFormat="1" ht="24" customHeight="1">
      <c r="A34" s="96" t="s">
        <v>209</v>
      </c>
      <c r="B34" s="108" t="s">
        <v>414</v>
      </c>
      <c r="C34" s="127">
        <v>68851</v>
      </c>
      <c r="D34" s="127">
        <v>68851</v>
      </c>
      <c r="E34" s="127">
        <v>68851</v>
      </c>
      <c r="F34" s="127">
        <v>0</v>
      </c>
      <c r="G34" s="68">
        <f t="shared" si="0"/>
        <v>68851</v>
      </c>
    </row>
    <row r="35" spans="1:7" s="78" customFormat="1" ht="12" customHeight="1">
      <c r="A35" s="27" t="s">
        <v>210</v>
      </c>
      <c r="B35" s="12" t="s">
        <v>181</v>
      </c>
      <c r="C35" s="68">
        <v>13797</v>
      </c>
      <c r="D35" s="68">
        <v>13797</v>
      </c>
      <c r="E35" s="68">
        <v>13797</v>
      </c>
      <c r="F35" s="68">
        <v>0</v>
      </c>
      <c r="G35" s="68">
        <f t="shared" si="0"/>
        <v>13797</v>
      </c>
    </row>
    <row r="36" spans="1:7" s="78" customFormat="1" ht="12" customHeight="1">
      <c r="A36" s="27" t="s">
        <v>182</v>
      </c>
      <c r="B36" s="55" t="s">
        <v>111</v>
      </c>
      <c r="C36" s="68">
        <v>350</v>
      </c>
      <c r="D36" s="68">
        <v>350</v>
      </c>
      <c r="E36" s="68">
        <v>350</v>
      </c>
      <c r="F36" s="68">
        <v>0</v>
      </c>
      <c r="G36" s="68">
        <f t="shared" si="0"/>
        <v>350</v>
      </c>
    </row>
    <row r="37" spans="1:7" s="78" customFormat="1" ht="12" customHeight="1">
      <c r="A37" s="27" t="s">
        <v>183</v>
      </c>
      <c r="B37" s="55" t="s">
        <v>141</v>
      </c>
      <c r="C37" s="68">
        <v>17332</v>
      </c>
      <c r="D37" s="68">
        <v>17332</v>
      </c>
      <c r="E37" s="68">
        <v>17332</v>
      </c>
      <c r="F37" s="68">
        <v>0</v>
      </c>
      <c r="G37" s="69">
        <f t="shared" si="0"/>
        <v>17332</v>
      </c>
    </row>
    <row r="38" spans="1:7" s="78" customFormat="1" ht="25.5" customHeight="1">
      <c r="A38" s="96" t="s">
        <v>184</v>
      </c>
      <c r="B38" s="109" t="s">
        <v>62</v>
      </c>
      <c r="C38" s="69">
        <v>769784</v>
      </c>
      <c r="D38" s="127">
        <v>769784</v>
      </c>
      <c r="E38" s="127">
        <v>769784</v>
      </c>
      <c r="F38" s="127">
        <v>0</v>
      </c>
      <c r="G38" s="69">
        <f t="shared" si="0"/>
        <v>769784</v>
      </c>
    </row>
    <row r="39" spans="1:7" s="78" customFormat="1" ht="12" customHeight="1">
      <c r="A39" s="94"/>
      <c r="B39" s="104" t="s">
        <v>288</v>
      </c>
      <c r="C39" s="70">
        <v>0</v>
      </c>
      <c r="D39" s="128">
        <v>0</v>
      </c>
      <c r="E39" s="128">
        <v>0</v>
      </c>
      <c r="F39" s="128">
        <v>0</v>
      </c>
      <c r="G39" s="70">
        <f t="shared" si="0"/>
        <v>0</v>
      </c>
    </row>
    <row r="40" spans="1:7" s="78" customFormat="1" ht="24" customHeight="1">
      <c r="A40" s="96" t="s">
        <v>185</v>
      </c>
      <c r="B40" s="109" t="s">
        <v>119</v>
      </c>
      <c r="C40" s="69">
        <v>0</v>
      </c>
      <c r="D40" s="69">
        <v>0</v>
      </c>
      <c r="E40" s="69">
        <v>0</v>
      </c>
      <c r="F40" s="69">
        <v>0</v>
      </c>
      <c r="G40" s="199">
        <f t="shared" si="0"/>
        <v>0</v>
      </c>
    </row>
    <row r="41" spans="1:7" s="78" customFormat="1" ht="12" customHeight="1">
      <c r="A41" s="96" t="s">
        <v>186</v>
      </c>
      <c r="B41" s="109" t="s">
        <v>63</v>
      </c>
      <c r="C41" s="69">
        <v>0</v>
      </c>
      <c r="D41" s="127">
        <v>0</v>
      </c>
      <c r="E41" s="127">
        <v>0</v>
      </c>
      <c r="F41" s="127">
        <v>0</v>
      </c>
      <c r="G41" s="69">
        <f t="shared" si="0"/>
        <v>0</v>
      </c>
    </row>
    <row r="42" spans="1:7" s="78" customFormat="1" ht="12" customHeight="1">
      <c r="A42" s="94"/>
      <c r="B42" s="104" t="s">
        <v>288</v>
      </c>
      <c r="C42" s="70">
        <v>0</v>
      </c>
      <c r="D42" s="128">
        <v>0</v>
      </c>
      <c r="E42" s="128">
        <v>0</v>
      </c>
      <c r="F42" s="128">
        <v>0</v>
      </c>
      <c r="G42" s="70">
        <f t="shared" si="0"/>
        <v>0</v>
      </c>
    </row>
    <row r="43" spans="1:7" s="78" customFormat="1" ht="24" customHeight="1">
      <c r="A43" s="94" t="s">
        <v>187</v>
      </c>
      <c r="B43" s="112" t="s">
        <v>481</v>
      </c>
      <c r="C43" s="70">
        <v>0</v>
      </c>
      <c r="D43" s="70">
        <v>0</v>
      </c>
      <c r="E43" s="70">
        <v>0</v>
      </c>
      <c r="F43" s="70">
        <v>0</v>
      </c>
      <c r="G43" s="70">
        <f t="shared" si="0"/>
        <v>0</v>
      </c>
    </row>
    <row r="44" spans="1:7" s="78" customFormat="1" ht="12" customHeight="1">
      <c r="A44" s="27" t="s">
        <v>188</v>
      </c>
      <c r="B44" s="55" t="s">
        <v>303</v>
      </c>
      <c r="C44" s="68">
        <v>0</v>
      </c>
      <c r="D44" s="68">
        <v>0</v>
      </c>
      <c r="E44" s="68">
        <v>0</v>
      </c>
      <c r="F44" s="68">
        <v>0</v>
      </c>
      <c r="G44" s="68">
        <f t="shared" si="0"/>
        <v>0</v>
      </c>
    </row>
    <row r="45" spans="1:7" s="78" customFormat="1" ht="12" customHeight="1">
      <c r="A45" s="27" t="s">
        <v>189</v>
      </c>
      <c r="B45" s="55" t="s">
        <v>304</v>
      </c>
      <c r="C45" s="68">
        <v>0</v>
      </c>
      <c r="D45" s="68">
        <v>154530</v>
      </c>
      <c r="E45" s="68">
        <v>154530</v>
      </c>
      <c r="F45" s="68">
        <v>0</v>
      </c>
      <c r="G45" s="68">
        <f t="shared" si="0"/>
        <v>154530</v>
      </c>
    </row>
    <row r="46" spans="1:7" s="78" customFormat="1" ht="12" customHeight="1">
      <c r="A46" s="76"/>
      <c r="B46" s="77" t="s">
        <v>272</v>
      </c>
      <c r="C46" s="67">
        <f>SUM(C33:C45)-C39-C42</f>
        <v>870114</v>
      </c>
      <c r="D46" s="67">
        <f>SUM(D33:D45)-D39-D42</f>
        <v>1024644</v>
      </c>
      <c r="E46" s="67">
        <f>SUM(E33:E45)-E39-E42</f>
        <v>1024644</v>
      </c>
      <c r="F46" s="67">
        <f>SUM(F33:F45)-F39-F42</f>
        <v>0</v>
      </c>
      <c r="G46" s="67">
        <f t="shared" si="0"/>
        <v>1024644</v>
      </c>
    </row>
    <row r="47" spans="1:7" s="80" customFormat="1" ht="13.5">
      <c r="A47" s="81" t="s">
        <v>190</v>
      </c>
      <c r="B47" s="77" t="s">
        <v>143</v>
      </c>
      <c r="C47" s="67">
        <v>708051</v>
      </c>
      <c r="D47" s="67">
        <v>985039</v>
      </c>
      <c r="E47" s="67">
        <v>976511</v>
      </c>
      <c r="F47" s="67">
        <v>42954</v>
      </c>
      <c r="G47" s="67">
        <f t="shared" si="0"/>
        <v>1019465</v>
      </c>
    </row>
    <row r="48" spans="1:7" s="80" customFormat="1" ht="12" customHeight="1">
      <c r="A48" s="30"/>
      <c r="B48" s="111" t="s">
        <v>66</v>
      </c>
      <c r="C48" s="57">
        <v>132284</v>
      </c>
      <c r="D48" s="57">
        <v>132284</v>
      </c>
      <c r="E48" s="57">
        <v>117410</v>
      </c>
      <c r="F48" s="57">
        <v>-10518</v>
      </c>
      <c r="G48" s="68">
        <f t="shared" si="0"/>
        <v>106892</v>
      </c>
    </row>
    <row r="49" spans="1:7" s="80" customFormat="1" ht="11.25" customHeight="1">
      <c r="A49" s="30"/>
      <c r="B49" s="87" t="s">
        <v>232</v>
      </c>
      <c r="C49" s="57">
        <v>0</v>
      </c>
      <c r="D49" s="57">
        <v>0</v>
      </c>
      <c r="E49" s="57">
        <v>0</v>
      </c>
      <c r="F49" s="57">
        <v>0</v>
      </c>
      <c r="G49" s="68">
        <f t="shared" si="0"/>
        <v>0</v>
      </c>
    </row>
    <row r="50" spans="1:7" s="80" customFormat="1" ht="13.5" customHeight="1">
      <c r="A50" s="88"/>
      <c r="B50" s="89" t="s">
        <v>74</v>
      </c>
      <c r="C50" s="90">
        <f>SUM(C46:C47)</f>
        <v>1578165</v>
      </c>
      <c r="D50" s="90">
        <f>SUM(D46:D47)</f>
        <v>2009683</v>
      </c>
      <c r="E50" s="90">
        <f>SUM(E46:E47)</f>
        <v>2001155</v>
      </c>
      <c r="F50" s="90">
        <f>SUM(F46:F47)</f>
        <v>42954</v>
      </c>
      <c r="G50" s="67">
        <f t="shared" si="0"/>
        <v>2044109</v>
      </c>
    </row>
    <row r="51" ht="12.75">
      <c r="H51" s="4"/>
    </row>
  </sheetData>
  <sheetProtection password="CC08"/>
  <mergeCells count="4">
    <mergeCell ref="A1:G1"/>
    <mergeCell ref="A2:G2"/>
    <mergeCell ref="A3:G3"/>
    <mergeCell ref="A4:G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CE,Normál"3/c.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9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421875" style="143" customWidth="1"/>
    <col min="2" max="2" width="40.140625" style="142" customWidth="1"/>
    <col min="3" max="3" width="8.7109375" style="142" customWidth="1"/>
    <col min="4" max="5" width="11.7109375" style="142" customWidth="1"/>
    <col min="6" max="6" width="8.140625" style="172" customWidth="1"/>
    <col min="7" max="7" width="12.28125" style="172" customWidth="1"/>
    <col min="8" max="8" width="6.57421875" style="41" customWidth="1"/>
    <col min="9" max="9" width="6.7109375" style="41" customWidth="1"/>
    <col min="10" max="10" width="5.7109375" style="41" customWidth="1"/>
    <col min="11" max="11" width="6.00390625" style="41" customWidth="1"/>
    <col min="12" max="13" width="9.140625" style="41" customWidth="1"/>
    <col min="14" max="14" width="7.8515625" style="41" customWidth="1"/>
    <col min="15" max="15" width="6.57421875" style="41" customWidth="1"/>
    <col min="16" max="16" width="7.00390625" style="41" customWidth="1"/>
    <col min="17" max="16384" width="9.140625" style="41" customWidth="1"/>
  </cols>
  <sheetData>
    <row r="2" spans="1:7" ht="15.75">
      <c r="A2" s="850" t="s">
        <v>285</v>
      </c>
      <c r="B2" s="842"/>
      <c r="C2" s="842"/>
      <c r="D2" s="842"/>
      <c r="E2" s="842"/>
      <c r="F2" s="842"/>
      <c r="G2" s="842"/>
    </row>
    <row r="3" spans="1:7" s="35" customFormat="1" ht="15.75">
      <c r="A3" s="169" t="s">
        <v>269</v>
      </c>
      <c r="B3" s="170"/>
      <c r="C3" s="170"/>
      <c r="D3" s="170"/>
      <c r="E3" s="170"/>
      <c r="F3" s="171"/>
      <c r="G3" s="171"/>
    </row>
    <row r="4" spans="1:7" ht="15.75">
      <c r="A4" s="852" t="s">
        <v>484</v>
      </c>
      <c r="B4" s="853"/>
      <c r="C4" s="853"/>
      <c r="D4" s="853"/>
      <c r="E4" s="853"/>
      <c r="F4" s="853"/>
      <c r="G4" s="853"/>
    </row>
    <row r="5" spans="1:7" ht="15.75">
      <c r="A5" s="516"/>
      <c r="B5" s="517"/>
      <c r="C5" s="517"/>
      <c r="D5" s="517"/>
      <c r="E5" s="517"/>
      <c r="F5" s="517"/>
      <c r="G5" s="517"/>
    </row>
    <row r="6" spans="1:7" s="612" customFormat="1" ht="12">
      <c r="A6" s="656"/>
      <c r="B6" s="657"/>
      <c r="C6" s="657"/>
      <c r="D6" s="657"/>
      <c r="E6" s="657"/>
      <c r="F6" s="688"/>
      <c r="G6" s="689" t="s">
        <v>377</v>
      </c>
    </row>
    <row r="7" spans="1:7" s="612" customFormat="1" ht="36" customHeight="1">
      <c r="A7" s="48" t="s">
        <v>446</v>
      </c>
      <c r="B7" s="48" t="s">
        <v>378</v>
      </c>
      <c r="C7" s="557" t="s">
        <v>297</v>
      </c>
      <c r="D7" s="558" t="s">
        <v>570</v>
      </c>
      <c r="E7" s="558" t="s">
        <v>636</v>
      </c>
      <c r="F7" s="555" t="s">
        <v>572</v>
      </c>
      <c r="G7" s="558" t="s">
        <v>716</v>
      </c>
    </row>
    <row r="8" spans="1:7" s="612" customFormat="1" ht="9.75" customHeight="1">
      <c r="A8" s="118" t="s">
        <v>208</v>
      </c>
      <c r="B8" s="48" t="s">
        <v>209</v>
      </c>
      <c r="C8" s="702" t="s">
        <v>210</v>
      </c>
      <c r="D8" s="702" t="s">
        <v>182</v>
      </c>
      <c r="E8" s="702" t="s">
        <v>183</v>
      </c>
      <c r="F8" s="702" t="s">
        <v>184</v>
      </c>
      <c r="G8" s="702" t="s">
        <v>185</v>
      </c>
    </row>
    <row r="9" spans="1:7" s="161" customFormat="1" ht="12.75" customHeight="1">
      <c r="A9" s="66"/>
      <c r="B9" s="600" t="s">
        <v>192</v>
      </c>
      <c r="C9" s="601">
        <v>223</v>
      </c>
      <c r="D9" s="601">
        <v>223</v>
      </c>
      <c r="E9" s="601">
        <v>215</v>
      </c>
      <c r="F9" s="601">
        <v>0</v>
      </c>
      <c r="G9" s="601">
        <f>SUM(E9:F9)</f>
        <v>215</v>
      </c>
    </row>
    <row r="10" spans="1:7" s="612" customFormat="1" ht="12.75" customHeight="1">
      <c r="A10" s="118"/>
      <c r="B10" s="632" t="s">
        <v>650</v>
      </c>
      <c r="C10" s="778"/>
      <c r="D10" s="778"/>
      <c r="E10" s="778">
        <v>215</v>
      </c>
      <c r="F10" s="778">
        <v>8</v>
      </c>
      <c r="G10" s="779">
        <f>SUM(E10:F10)</f>
        <v>223</v>
      </c>
    </row>
    <row r="11" spans="1:7" s="612" customFormat="1" ht="12.75" customHeight="1">
      <c r="A11" s="118"/>
      <c r="B11" s="632" t="s">
        <v>653</v>
      </c>
      <c r="C11" s="778"/>
      <c r="D11" s="778"/>
      <c r="E11" s="778">
        <v>223</v>
      </c>
      <c r="F11" s="778">
        <v>-3</v>
      </c>
      <c r="G11" s="779">
        <f>SUM(E11:F11)</f>
        <v>220</v>
      </c>
    </row>
    <row r="12" spans="1:7" s="612" customFormat="1" ht="12.75" customHeight="1">
      <c r="A12" s="118"/>
      <c r="B12" s="632" t="s">
        <v>651</v>
      </c>
      <c r="C12" s="778"/>
      <c r="D12" s="778"/>
      <c r="E12" s="778">
        <v>220</v>
      </c>
      <c r="F12" s="778">
        <v>-3</v>
      </c>
      <c r="G12" s="779">
        <f>SUM(E12:F12)</f>
        <v>217</v>
      </c>
    </row>
    <row r="13" spans="1:7" s="161" customFormat="1" ht="12.75" customHeight="1">
      <c r="A13" s="66"/>
      <c r="B13" s="600" t="s">
        <v>649</v>
      </c>
      <c r="C13" s="601">
        <v>223</v>
      </c>
      <c r="D13" s="601">
        <v>223</v>
      </c>
      <c r="E13" s="601">
        <v>223</v>
      </c>
      <c r="F13" s="601">
        <v>-6</v>
      </c>
      <c r="G13" s="781">
        <f>SUM(E13:F13)</f>
        <v>217</v>
      </c>
    </row>
    <row r="14" spans="1:7" s="163" customFormat="1" ht="12.75" customHeight="1">
      <c r="A14" s="602"/>
      <c r="B14" s="671" t="s">
        <v>166</v>
      </c>
      <c r="C14" s="603"/>
      <c r="D14" s="603"/>
      <c r="E14" s="603"/>
      <c r="F14" s="603"/>
      <c r="G14" s="603"/>
    </row>
    <row r="15" spans="1:7" s="161" customFormat="1" ht="12">
      <c r="A15" s="604" t="s">
        <v>208</v>
      </c>
      <c r="B15" s="605" t="s">
        <v>167</v>
      </c>
      <c r="C15" s="513">
        <f>SUM('4a.számú melléklet'!G173)</f>
        <v>813710</v>
      </c>
      <c r="D15" s="513">
        <f>SUM('4a.számú melléklet'!H173)</f>
        <v>847533</v>
      </c>
      <c r="E15" s="513">
        <f>SUM('4a.számú melléklet'!I173)</f>
        <v>865323</v>
      </c>
      <c r="F15" s="513">
        <f>SUM('4a.számú melléklet'!J173)</f>
        <v>15316</v>
      </c>
      <c r="G15" s="513">
        <f>SUM('4a.számú melléklet'!K173)</f>
        <v>880639</v>
      </c>
    </row>
    <row r="16" spans="1:7" s="161" customFormat="1" ht="12.75" customHeight="1">
      <c r="A16" s="604" t="s">
        <v>209</v>
      </c>
      <c r="B16" s="605" t="s">
        <v>168</v>
      </c>
      <c r="C16" s="513">
        <f>SUM('4a.számú melléklet'!G175)</f>
        <v>270123</v>
      </c>
      <c r="D16" s="513">
        <f>SUM('4a.számú melléklet'!H175)</f>
        <v>280857</v>
      </c>
      <c r="E16" s="513">
        <f>SUM('4a.számú melléklet'!I175)</f>
        <v>286128</v>
      </c>
      <c r="F16" s="513">
        <f>SUM('4a.számú melléklet'!J175)</f>
        <v>4900</v>
      </c>
      <c r="G16" s="513">
        <f>SUM('4a.számú melléklet'!K175)</f>
        <v>291028</v>
      </c>
    </row>
    <row r="17" spans="1:7" s="161" customFormat="1" ht="12">
      <c r="A17" s="604" t="s">
        <v>210</v>
      </c>
      <c r="B17" s="605" t="s">
        <v>169</v>
      </c>
      <c r="C17" s="513">
        <f>SUM('4a.számú melléklet'!G182)</f>
        <v>2671665</v>
      </c>
      <c r="D17" s="513">
        <f>SUM('4a.számú melléklet'!H182)</f>
        <v>3012767</v>
      </c>
      <c r="E17" s="513">
        <f>SUM('4a.számú melléklet'!I182)</f>
        <v>3200153</v>
      </c>
      <c r="F17" s="513">
        <f>SUM('4a.számú melléklet'!J182)</f>
        <v>95730</v>
      </c>
      <c r="G17" s="513">
        <f>SUM('4a.számú melléklet'!K182)</f>
        <v>3295883</v>
      </c>
    </row>
    <row r="18" spans="1:7" s="161" customFormat="1" ht="12">
      <c r="A18" s="604" t="s">
        <v>182</v>
      </c>
      <c r="B18" s="606" t="s">
        <v>60</v>
      </c>
      <c r="C18" s="607">
        <f>SUM('4a.számú melléklet'!G183)</f>
        <v>120170</v>
      </c>
      <c r="D18" s="607">
        <f>SUM('4a.számú melléklet'!H183)</f>
        <v>359981</v>
      </c>
      <c r="E18" s="607">
        <f>SUM('4a.számú melléklet'!I183)</f>
        <v>360236</v>
      </c>
      <c r="F18" s="607">
        <f>SUM('4a.számú melléklet'!J183)</f>
        <v>50</v>
      </c>
      <c r="G18" s="608">
        <f>SUM('4a.számú melléklet'!K183)</f>
        <v>360286</v>
      </c>
    </row>
    <row r="19" spans="1:7" s="612" customFormat="1" ht="12">
      <c r="A19" s="609"/>
      <c r="B19" s="610" t="s">
        <v>245</v>
      </c>
      <c r="C19" s="611">
        <f>SUM('4a.számú melléklet'!G184)</f>
        <v>120170</v>
      </c>
      <c r="D19" s="611">
        <f>SUM('4a.számú melléklet'!H184)</f>
        <v>359981</v>
      </c>
      <c r="E19" s="611">
        <f>SUM('4a.számú melléklet'!I184)</f>
        <v>360236</v>
      </c>
      <c r="F19" s="611">
        <f>SUM('4a.számú melléklet'!J184)</f>
        <v>50</v>
      </c>
      <c r="G19" s="611">
        <f>SUM('4a.számú melléklet'!K184)</f>
        <v>360286</v>
      </c>
    </row>
    <row r="20" spans="1:7" s="612" customFormat="1" ht="12">
      <c r="A20" s="613"/>
      <c r="B20" s="614" t="s">
        <v>288</v>
      </c>
      <c r="C20" s="615">
        <f>SUM('4a.számú melléklet'!G185)</f>
        <v>0</v>
      </c>
      <c r="D20" s="615">
        <f>SUM('4a.számú melléklet'!H185)</f>
        <v>239811</v>
      </c>
      <c r="E20" s="615">
        <f>SUM('4a.számú melléklet'!I185)</f>
        <v>239811</v>
      </c>
      <c r="F20" s="615">
        <f>SUM('4a.számú melléklet'!J185)</f>
        <v>0</v>
      </c>
      <c r="G20" s="615">
        <f>SUM('4a.számú melléklet'!K185)</f>
        <v>239811</v>
      </c>
    </row>
    <row r="21" spans="1:7" s="161" customFormat="1" ht="12.75" customHeight="1">
      <c r="A21" s="604" t="s">
        <v>183</v>
      </c>
      <c r="B21" s="605" t="s">
        <v>347</v>
      </c>
      <c r="C21" s="616">
        <f>SUM('4a.számú melléklet'!G186)</f>
        <v>378456</v>
      </c>
      <c r="D21" s="616">
        <f>SUM('4a.számú melléklet'!H186)</f>
        <v>460258</v>
      </c>
      <c r="E21" s="616">
        <f>SUM('4a.számú melléklet'!I186)</f>
        <v>465165</v>
      </c>
      <c r="F21" s="616">
        <f>SUM('4a.számú melléklet'!J186)</f>
        <v>440</v>
      </c>
      <c r="G21" s="513">
        <f>SUM('4a.számú melléklet'!K186)</f>
        <v>465605</v>
      </c>
    </row>
    <row r="22" spans="1:7" s="612" customFormat="1" ht="12.75" customHeight="1">
      <c r="A22" s="617"/>
      <c r="B22" s="618" t="s">
        <v>243</v>
      </c>
      <c r="C22" s="512">
        <f>SUM('4a.számú melléklet'!G187)</f>
        <v>81285</v>
      </c>
      <c r="D22" s="512">
        <f>SUM('4a.számú melléklet'!H187)</f>
        <v>94719</v>
      </c>
      <c r="E22" s="512">
        <f>SUM('4a.számú melléklet'!I187)</f>
        <v>98263</v>
      </c>
      <c r="F22" s="512">
        <f>SUM('4a.számú melléklet'!J187)</f>
        <v>440</v>
      </c>
      <c r="G22" s="512">
        <f>SUM('4a.számú melléklet'!K187)</f>
        <v>98703</v>
      </c>
    </row>
    <row r="23" spans="1:7" s="612" customFormat="1" ht="12.75" customHeight="1">
      <c r="A23" s="617"/>
      <c r="B23" s="618" t="s">
        <v>248</v>
      </c>
      <c r="C23" s="512">
        <f>SUM('4a.számú melléklet'!G188)</f>
        <v>297171</v>
      </c>
      <c r="D23" s="512">
        <f>SUM('4a.számú melléklet'!H188)</f>
        <v>365539</v>
      </c>
      <c r="E23" s="512">
        <f>SUM('4a.számú melléklet'!I188)</f>
        <v>366902</v>
      </c>
      <c r="F23" s="512">
        <f>SUM('4a.számú melléklet'!J188)</f>
        <v>0</v>
      </c>
      <c r="G23" s="512">
        <f>SUM('4a.számú melléklet'!K188)</f>
        <v>366902</v>
      </c>
    </row>
    <row r="24" spans="1:7" s="612" customFormat="1" ht="12.75" customHeight="1">
      <c r="A24" s="617"/>
      <c r="B24" s="618" t="s">
        <v>244</v>
      </c>
      <c r="C24" s="512">
        <f>SUM('4a.számú melléklet'!G189)</f>
        <v>0</v>
      </c>
      <c r="D24" s="512">
        <f>SUM('4a.számú melléklet'!H189)</f>
        <v>0</v>
      </c>
      <c r="E24" s="512">
        <f>SUM('4a.számú melléklet'!I189)</f>
        <v>0</v>
      </c>
      <c r="F24" s="512">
        <f>SUM('4a.számú melléklet'!J189)</f>
        <v>0</v>
      </c>
      <c r="G24" s="512">
        <f>SUM('4a.számú melléklet'!K189)</f>
        <v>0</v>
      </c>
    </row>
    <row r="25" spans="1:7" s="612" customFormat="1" ht="12.75" customHeight="1">
      <c r="A25" s="617"/>
      <c r="B25" s="402" t="s">
        <v>426</v>
      </c>
      <c r="C25" s="512">
        <f>SUM('4a.számú melléklet'!G190)</f>
        <v>0</v>
      </c>
      <c r="D25" s="512">
        <f>SUM('4a.számú melléklet'!H190)</f>
        <v>0</v>
      </c>
      <c r="E25" s="512">
        <f>SUM('4a.számú melléklet'!I190)</f>
        <v>0</v>
      </c>
      <c r="F25" s="512">
        <f>SUM('4a.számú melléklet'!J190)</f>
        <v>0</v>
      </c>
      <c r="G25" s="512">
        <f>SUM('4a.számú melléklet'!K190)</f>
        <v>0</v>
      </c>
    </row>
    <row r="26" spans="1:7" s="161" customFormat="1" ht="12">
      <c r="A26" s="604" t="s">
        <v>184</v>
      </c>
      <c r="B26" s="605" t="s">
        <v>180</v>
      </c>
      <c r="C26" s="513">
        <f>SUM('4a.számú melléklet'!G191)</f>
        <v>572977</v>
      </c>
      <c r="D26" s="513">
        <f>SUM('4a.számú melléklet'!H191)</f>
        <v>575420</v>
      </c>
      <c r="E26" s="513">
        <f>SUM('4a.számú melléklet'!I191)</f>
        <v>592511</v>
      </c>
      <c r="F26" s="513">
        <f>SUM('4a.számú melléklet'!J191)</f>
        <v>826</v>
      </c>
      <c r="G26" s="513">
        <f>SUM('4a.számú melléklet'!K191)</f>
        <v>593337</v>
      </c>
    </row>
    <row r="27" spans="1:7" s="161" customFormat="1" ht="12">
      <c r="A27" s="604" t="s">
        <v>185</v>
      </c>
      <c r="B27" s="605" t="s">
        <v>384</v>
      </c>
      <c r="C27" s="513">
        <f>SUM('4a.számú melléklet'!G192)</f>
        <v>32965</v>
      </c>
      <c r="D27" s="513">
        <f>SUM('4a.számú melléklet'!H192)</f>
        <v>32965</v>
      </c>
      <c r="E27" s="513">
        <f>SUM('4a.számú melléklet'!I192)</f>
        <v>32965</v>
      </c>
      <c r="F27" s="513">
        <f>SUM('4a.számú melléklet'!J192)</f>
        <v>0</v>
      </c>
      <c r="G27" s="513">
        <f>SUM('4a.számú melléklet'!K192)</f>
        <v>32965</v>
      </c>
    </row>
    <row r="28" spans="1:7" s="163" customFormat="1" ht="12">
      <c r="A28" s="619" t="s">
        <v>80</v>
      </c>
      <c r="B28" s="620" t="s">
        <v>149</v>
      </c>
      <c r="C28" s="621">
        <f>SUM(C15,C16,C17,C18,C21,C26,C27)</f>
        <v>4860066</v>
      </c>
      <c r="D28" s="621">
        <f>SUM(D15,D16,D17,D18,D21,D26,D27)</f>
        <v>5569781</v>
      </c>
      <c r="E28" s="621">
        <f>SUM(E15,E16,E17,E18,E21,E26,E27)</f>
        <v>5802481</v>
      </c>
      <c r="F28" s="621">
        <f>SUM(F15,F16,F17,F18,F21,F26,F27)</f>
        <v>117262</v>
      </c>
      <c r="G28" s="621">
        <f>SUM(G15,G16,G17,G18,G21,G26,G27)</f>
        <v>5919743</v>
      </c>
    </row>
    <row r="29" spans="1:7" s="161" customFormat="1" ht="12">
      <c r="A29" s="617"/>
      <c r="B29" s="47" t="s">
        <v>69</v>
      </c>
      <c r="C29" s="512">
        <f>SUM('4a.számú melléklet'!G193)</f>
        <v>0</v>
      </c>
      <c r="D29" s="512">
        <f>SUM('4a.számú melléklet'!H193)</f>
        <v>297682</v>
      </c>
      <c r="E29" s="512">
        <f>SUM('4a.számú melléklet'!I193)</f>
        <v>374041</v>
      </c>
      <c r="F29" s="512">
        <f>SUM('4a.számú melléklet'!J193)</f>
        <v>264939</v>
      </c>
      <c r="G29" s="512">
        <f>SUM('4a.számú melléklet'!K193)</f>
        <v>638980</v>
      </c>
    </row>
    <row r="30" spans="1:7" s="161" customFormat="1" ht="12">
      <c r="A30" s="617"/>
      <c r="B30" s="47" t="s">
        <v>342</v>
      </c>
      <c r="C30" s="512">
        <f>SUM('4a.számú melléklet'!G194)</f>
        <v>64372</v>
      </c>
      <c r="D30" s="512">
        <f>SUM('4a.számú melléklet'!H194)</f>
        <v>176576</v>
      </c>
      <c r="E30" s="512">
        <f>SUM('4a.számú melléklet'!I194)</f>
        <v>192186</v>
      </c>
      <c r="F30" s="512">
        <f>SUM('4a.számú melléklet'!J194)</f>
        <v>1851</v>
      </c>
      <c r="G30" s="512">
        <f>SUM('4a.számú melléklet'!K194)</f>
        <v>194037</v>
      </c>
    </row>
    <row r="31" spans="1:7" s="161" customFormat="1" ht="12">
      <c r="A31" s="617"/>
      <c r="B31" s="47" t="s">
        <v>70</v>
      </c>
      <c r="C31" s="512">
        <f>SUM('4a.számú melléklet'!G195)</f>
        <v>0</v>
      </c>
      <c r="D31" s="512">
        <f>SUM('4a.számú melléklet'!H195)</f>
        <v>234182</v>
      </c>
      <c r="E31" s="512">
        <f>SUM('4a.számú melléklet'!I195)</f>
        <v>199182</v>
      </c>
      <c r="F31" s="512">
        <f>SUM('4a.számú melléklet'!J195)</f>
        <v>123304</v>
      </c>
      <c r="G31" s="512">
        <f>SUM('4a.számú melléklet'!K195)</f>
        <v>322486</v>
      </c>
    </row>
    <row r="32" spans="1:7" s="161" customFormat="1" ht="12">
      <c r="A32" s="617"/>
      <c r="B32" s="47" t="s">
        <v>468</v>
      </c>
      <c r="C32" s="512">
        <f>SUM('4a.számú melléklet'!G128,'4a.számú melléklet'!G10)</f>
        <v>0</v>
      </c>
      <c r="D32" s="512">
        <f>SUM('4a.számú melléklet'!H128,'4a.számú melléklet'!H10)</f>
        <v>38897</v>
      </c>
      <c r="E32" s="512">
        <f>SUM('4a.számú melléklet'!I128,'4a.számú melléklet'!I10)</f>
        <v>38897</v>
      </c>
      <c r="F32" s="512">
        <f>SUM('4a.számú melléklet'!J128,'4a.számú melléklet'!J10)</f>
        <v>28000</v>
      </c>
      <c r="G32" s="512">
        <f>SUM('4a.számú melléklet'!K128,'4a.számú melléklet'!K10)</f>
        <v>66897</v>
      </c>
    </row>
    <row r="33" spans="1:7" s="161" customFormat="1" ht="12">
      <c r="A33" s="604" t="s">
        <v>186</v>
      </c>
      <c r="B33" s="605" t="s">
        <v>361</v>
      </c>
      <c r="C33" s="513">
        <f>SUM(C29:C32)</f>
        <v>64372</v>
      </c>
      <c r="D33" s="513">
        <f>SUM(D29:D32)</f>
        <v>747337</v>
      </c>
      <c r="E33" s="513">
        <f>SUM(E29:E32)</f>
        <v>804306</v>
      </c>
      <c r="F33" s="513">
        <f>SUM(F29:F32)</f>
        <v>418094</v>
      </c>
      <c r="G33" s="513">
        <f>SUM(G29:G32)</f>
        <v>1222400</v>
      </c>
    </row>
    <row r="34" spans="1:7" s="161" customFormat="1" ht="12">
      <c r="A34" s="604" t="s">
        <v>187</v>
      </c>
      <c r="B34" s="605" t="s">
        <v>72</v>
      </c>
      <c r="C34" s="513">
        <f>SUM('4a.számú melléklet'!G197)</f>
        <v>50196</v>
      </c>
      <c r="D34" s="513">
        <f>SUM('4a.számú melléklet'!H197)</f>
        <v>67362</v>
      </c>
      <c r="E34" s="513">
        <f>SUM('4a.számú melléklet'!I197)</f>
        <v>86957</v>
      </c>
      <c r="F34" s="513">
        <f>SUM('4a.számú melléklet'!J197)</f>
        <v>0</v>
      </c>
      <c r="G34" s="513">
        <f>SUM('4a.számú melléklet'!K197)</f>
        <v>86957</v>
      </c>
    </row>
    <row r="35" spans="1:7" s="161" customFormat="1" ht="12">
      <c r="A35" s="604" t="s">
        <v>188</v>
      </c>
      <c r="B35" s="605" t="s">
        <v>73</v>
      </c>
      <c r="C35" s="513">
        <f>SUM('4a.számú melléklet'!G198)</f>
        <v>161105</v>
      </c>
      <c r="D35" s="513">
        <f>SUM('4a.számú melléklet'!H198)</f>
        <v>2197417</v>
      </c>
      <c r="E35" s="513">
        <f>SUM('4a.számú melléklet'!I198)</f>
        <v>2190147</v>
      </c>
      <c r="F35" s="513">
        <f>SUM('4a.számú melléklet'!J198)</f>
        <v>42306</v>
      </c>
      <c r="G35" s="513">
        <f>SUM('4a.számú melléklet'!K198)</f>
        <v>2232453</v>
      </c>
    </row>
    <row r="36" spans="1:7" s="161" customFormat="1" ht="12">
      <c r="A36" s="604" t="s">
        <v>189</v>
      </c>
      <c r="B36" s="605" t="s">
        <v>86</v>
      </c>
      <c r="C36" s="513">
        <f>SUM('4a.számú melléklet'!G199)</f>
        <v>0</v>
      </c>
      <c r="D36" s="513">
        <f>SUM('4a.számú melléklet'!H199)</f>
        <v>0</v>
      </c>
      <c r="E36" s="513">
        <f>SUM('4a.számú melléklet'!I199)</f>
        <v>0</v>
      </c>
      <c r="F36" s="513">
        <f>SUM('4a.számú melléklet'!J199)</f>
        <v>250</v>
      </c>
      <c r="G36" s="513">
        <f>SUM('4a.számú melléklet'!K199)</f>
        <v>250</v>
      </c>
    </row>
    <row r="37" spans="1:7" s="161" customFormat="1" ht="12">
      <c r="A37" s="604" t="s">
        <v>190</v>
      </c>
      <c r="B37" s="605" t="s">
        <v>471</v>
      </c>
      <c r="C37" s="607">
        <f>SUM('4a.számú melléklet'!G200)</f>
        <v>101743</v>
      </c>
      <c r="D37" s="607">
        <f>SUM('4a.számú melléklet'!H200)</f>
        <v>1931230</v>
      </c>
      <c r="E37" s="607">
        <f>SUM('4a.számú melléklet'!I200)</f>
        <v>1931230</v>
      </c>
      <c r="F37" s="607">
        <f>SUM('4a.számú melléklet'!J200)</f>
        <v>-1190107</v>
      </c>
      <c r="G37" s="607">
        <f>SUM('4a.számú melléklet'!K200)</f>
        <v>741123</v>
      </c>
    </row>
    <row r="38" spans="1:7" s="612" customFormat="1" ht="12">
      <c r="A38" s="609"/>
      <c r="B38" s="610" t="s">
        <v>245</v>
      </c>
      <c r="C38" s="611">
        <f>SUM('4a.számú melléklet'!G201)</f>
        <v>95283</v>
      </c>
      <c r="D38" s="611">
        <f>SUM('4a.számú melléklet'!H201)</f>
        <v>1924770</v>
      </c>
      <c r="E38" s="611">
        <f>SUM('4a.számú melléklet'!I201)</f>
        <v>1924770</v>
      </c>
      <c r="F38" s="611">
        <f>SUM('4a.számú melléklet'!J201)</f>
        <v>-1190107</v>
      </c>
      <c r="G38" s="611">
        <f>SUM('4a.számú melléklet'!K201)</f>
        <v>734663</v>
      </c>
    </row>
    <row r="39" spans="1:7" s="612" customFormat="1" ht="12">
      <c r="A39" s="613"/>
      <c r="B39" s="614" t="s">
        <v>288</v>
      </c>
      <c r="C39" s="615">
        <f>SUM('4a.számú melléklet'!G202)</f>
        <v>0</v>
      </c>
      <c r="D39" s="615">
        <f>SUM('4a.számú melléklet'!H202)</f>
        <v>121683</v>
      </c>
      <c r="E39" s="615">
        <f>SUM('4a.számú melléklet'!I202)</f>
        <v>121683</v>
      </c>
      <c r="F39" s="615">
        <f>SUM('4a.számú melléklet'!J202)</f>
        <v>0</v>
      </c>
      <c r="G39" s="615">
        <f>SUM('4a.számú melléklet'!K202)</f>
        <v>121683</v>
      </c>
    </row>
    <row r="40" spans="1:7" s="612" customFormat="1" ht="12">
      <c r="A40" s="617"/>
      <c r="B40" s="622" t="s">
        <v>247</v>
      </c>
      <c r="C40" s="512">
        <f>SUM('4a.számú melléklet'!G203)</f>
        <v>6460</v>
      </c>
      <c r="D40" s="512">
        <f>SUM('4a.számú melléklet'!H203)</f>
        <v>6460</v>
      </c>
      <c r="E40" s="512">
        <f>SUM('4a.számú melléklet'!I203)</f>
        <v>6460</v>
      </c>
      <c r="F40" s="512">
        <f>SUM('4a.számú melléklet'!J203)</f>
        <v>0</v>
      </c>
      <c r="G40" s="512">
        <f>SUM('4a.számú melléklet'!K203)</f>
        <v>6460</v>
      </c>
    </row>
    <row r="41" spans="1:7" s="161" customFormat="1" ht="24.75" customHeight="1">
      <c r="A41" s="604" t="s">
        <v>191</v>
      </c>
      <c r="B41" s="605" t="s">
        <v>195</v>
      </c>
      <c r="C41" s="513">
        <f>SUM('4a.számú melléklet'!G204)</f>
        <v>38780</v>
      </c>
      <c r="D41" s="513">
        <f>SUM('4a.számú melléklet'!H204)</f>
        <v>557805</v>
      </c>
      <c r="E41" s="513">
        <f>SUM('4a.számú melléklet'!I204)</f>
        <v>556361</v>
      </c>
      <c r="F41" s="513">
        <f>SUM('4a.számú melléklet'!J204)</f>
        <v>94074</v>
      </c>
      <c r="G41" s="513">
        <f>SUM('4a.számú melléklet'!K204)</f>
        <v>650435</v>
      </c>
    </row>
    <row r="42" spans="1:7" s="612" customFormat="1" ht="12.75" customHeight="1">
      <c r="A42" s="617"/>
      <c r="B42" s="402" t="s">
        <v>243</v>
      </c>
      <c r="C42" s="512">
        <f>SUM('4a.számú melléklet'!G205)</f>
        <v>18780</v>
      </c>
      <c r="D42" s="512">
        <f>SUM('4a.számú melléklet'!H205)</f>
        <v>534805</v>
      </c>
      <c r="E42" s="512">
        <f>SUM('4a.számú melléklet'!I205)</f>
        <v>533361</v>
      </c>
      <c r="F42" s="512">
        <f>SUM('4a.számú melléklet'!J205)</f>
        <v>94074</v>
      </c>
      <c r="G42" s="512">
        <f>SUM('4a.számú melléklet'!K205)</f>
        <v>627435</v>
      </c>
    </row>
    <row r="43" spans="1:7" s="612" customFormat="1" ht="12.75" customHeight="1">
      <c r="A43" s="617"/>
      <c r="B43" s="445" t="s">
        <v>246</v>
      </c>
      <c r="C43" s="512">
        <f>SUM('4a.számú melléklet'!G206)</f>
        <v>20000</v>
      </c>
      <c r="D43" s="512">
        <f>SUM('4a.számú melléklet'!H206)</f>
        <v>20000</v>
      </c>
      <c r="E43" s="512">
        <f>SUM('4a.számú melléklet'!I206)</f>
        <v>20000</v>
      </c>
      <c r="F43" s="512">
        <f>SUM('4a.számú melléklet'!J206)</f>
        <v>0</v>
      </c>
      <c r="G43" s="512">
        <f>SUM('4a.számú melléklet'!K206)</f>
        <v>20000</v>
      </c>
    </row>
    <row r="44" spans="1:7" s="612" customFormat="1" ht="12.75" customHeight="1">
      <c r="A44" s="617"/>
      <c r="B44" s="445" t="s">
        <v>5</v>
      </c>
      <c r="C44" s="512">
        <f>SUM('4a.számú melléklet'!G207)</f>
        <v>0</v>
      </c>
      <c r="D44" s="512">
        <f>SUM('4a.számú melléklet'!H207)</f>
        <v>0</v>
      </c>
      <c r="E44" s="512">
        <f>SUM('4a.számú melléklet'!I207)</f>
        <v>0</v>
      </c>
      <c r="F44" s="512">
        <f>SUM('4a.számú melléklet'!J207)</f>
        <v>0</v>
      </c>
      <c r="G44" s="512">
        <f>SUM('4a.számú melléklet'!K207)</f>
        <v>0</v>
      </c>
    </row>
    <row r="45" spans="1:7" s="612" customFormat="1" ht="12.75" customHeight="1">
      <c r="A45" s="617"/>
      <c r="B45" s="445" t="s">
        <v>244</v>
      </c>
      <c r="C45" s="512">
        <f>SUM('4a.számú melléklet'!G208)</f>
        <v>0</v>
      </c>
      <c r="D45" s="512">
        <f>SUM('4a.számú melléklet'!H208)</f>
        <v>0</v>
      </c>
      <c r="E45" s="512">
        <f>SUM('4a.számú melléklet'!I208)</f>
        <v>0</v>
      </c>
      <c r="F45" s="512">
        <f>SUM('4a.számú melléklet'!J208)</f>
        <v>0</v>
      </c>
      <c r="G45" s="512">
        <f>SUM('4a.számú melléklet'!K208)</f>
        <v>0</v>
      </c>
    </row>
    <row r="46" spans="1:7" s="612" customFormat="1" ht="12.75" customHeight="1">
      <c r="A46" s="617"/>
      <c r="B46" s="445" t="s">
        <v>426</v>
      </c>
      <c r="C46" s="512">
        <f>SUM('4a.számú melléklet'!G209)</f>
        <v>0</v>
      </c>
      <c r="D46" s="512">
        <f>SUM('4a.számú melléklet'!H209)</f>
        <v>3000</v>
      </c>
      <c r="E46" s="512">
        <f>SUM('4a.számú melléklet'!I209)</f>
        <v>3000</v>
      </c>
      <c r="F46" s="512">
        <f>SUM('4a.számú melléklet'!J209)</f>
        <v>0</v>
      </c>
      <c r="G46" s="512">
        <f>SUM('4a.számú melléklet'!K209)</f>
        <v>3000</v>
      </c>
    </row>
    <row r="47" spans="1:7" s="163" customFormat="1" ht="24.75" customHeight="1">
      <c r="A47" s="619" t="s">
        <v>329</v>
      </c>
      <c r="B47" s="620" t="s">
        <v>138</v>
      </c>
      <c r="C47" s="621">
        <f>SUM(C33,C34,C35,C36,C37,C41)</f>
        <v>416196</v>
      </c>
      <c r="D47" s="621">
        <f>SUM(D33,D34,D35,D36,D37,D41)</f>
        <v>5501151</v>
      </c>
      <c r="E47" s="621">
        <f>SUM(E33,E34,E35,E36,E37,E41)</f>
        <v>5569001</v>
      </c>
      <c r="F47" s="621">
        <f>SUM(F33,F34,F35,F36,F37,F41)</f>
        <v>-635383</v>
      </c>
      <c r="G47" s="621">
        <f>SUM(G33,G34,G35,G36,G37,G41)</f>
        <v>4933618</v>
      </c>
    </row>
    <row r="48" spans="1:7" s="163" customFormat="1" ht="12.75" customHeight="1">
      <c r="A48" s="66" t="s">
        <v>324</v>
      </c>
      <c r="B48" s="600" t="s">
        <v>466</v>
      </c>
      <c r="C48" s="623">
        <f>SUM(C49:C50)</f>
        <v>8912</v>
      </c>
      <c r="D48" s="623">
        <f>SUM(D49:D50)</f>
        <v>12133</v>
      </c>
      <c r="E48" s="623">
        <f>SUM(E49:E50)</f>
        <v>12133</v>
      </c>
      <c r="F48" s="623">
        <f>SUM(F49:F50)</f>
        <v>61000</v>
      </c>
      <c r="G48" s="623">
        <f>SUM(G49:G50)</f>
        <v>73133</v>
      </c>
    </row>
    <row r="49" spans="1:7" s="163" customFormat="1" ht="12.75" customHeight="1">
      <c r="A49" s="619"/>
      <c r="B49" s="448" t="s">
        <v>464</v>
      </c>
      <c r="C49" s="624">
        <f>SUM('4a.számú melléklet'!G211)</f>
        <v>0</v>
      </c>
      <c r="D49" s="624">
        <f>SUM('4a.számú melléklet'!H211)</f>
        <v>0</v>
      </c>
      <c r="E49" s="624">
        <f>SUM('4a.számú melléklet'!I211)</f>
        <v>0</v>
      </c>
      <c r="F49" s="624">
        <f>SUM('4a.számú melléklet'!J211)</f>
        <v>0</v>
      </c>
      <c r="G49" s="624">
        <f>SUM('4a.számú melléklet'!K211)</f>
        <v>0</v>
      </c>
    </row>
    <row r="50" spans="1:7" s="163" customFormat="1" ht="12.75" customHeight="1">
      <c r="A50" s="619"/>
      <c r="B50" s="627" t="s">
        <v>465</v>
      </c>
      <c r="C50" s="624">
        <f>SUM('4a.számú melléklet'!G212)</f>
        <v>8912</v>
      </c>
      <c r="D50" s="624">
        <f>SUM('4a.számú melléklet'!H212)</f>
        <v>12133</v>
      </c>
      <c r="E50" s="624">
        <f>SUM('4a.számú melléklet'!I212)</f>
        <v>12133</v>
      </c>
      <c r="F50" s="624">
        <f>SUM('4a.számú melléklet'!J212)</f>
        <v>61000</v>
      </c>
      <c r="G50" s="624">
        <f>SUM('4a.számú melléklet'!K212)</f>
        <v>73133</v>
      </c>
    </row>
    <row r="51" spans="1:7" s="163" customFormat="1" ht="12.75" customHeight="1">
      <c r="A51" s="783"/>
      <c r="B51" s="784"/>
      <c r="C51" s="785"/>
      <c r="D51" s="785"/>
      <c r="E51" s="785"/>
      <c r="F51" s="785"/>
      <c r="G51" s="785"/>
    </row>
    <row r="52" spans="1:7" s="163" customFormat="1" ht="12.75" customHeight="1">
      <c r="A52" s="783"/>
      <c r="B52" s="784"/>
      <c r="C52" s="785"/>
      <c r="D52" s="785"/>
      <c r="E52" s="785"/>
      <c r="F52" s="785"/>
      <c r="G52" s="785"/>
    </row>
    <row r="53" spans="1:7" s="163" customFormat="1" ht="12.75" customHeight="1">
      <c r="A53" s="604" t="s">
        <v>325</v>
      </c>
      <c r="B53" s="160" t="s">
        <v>294</v>
      </c>
      <c r="C53" s="623">
        <f>SUM(C54:C56)</f>
        <v>2945516</v>
      </c>
      <c r="D53" s="623">
        <f>SUM(D54:D56)</f>
        <v>1995694</v>
      </c>
      <c r="E53" s="623">
        <f>SUM(E54:E56)</f>
        <v>2069197</v>
      </c>
      <c r="F53" s="623">
        <f>SUM(F54:F56)</f>
        <v>-1891</v>
      </c>
      <c r="G53" s="623">
        <f>SUM(G54:G56)</f>
        <v>2067306</v>
      </c>
    </row>
    <row r="54" spans="1:7" s="163" customFormat="1" ht="12.75" customHeight="1">
      <c r="A54" s="619"/>
      <c r="B54" s="448" t="s">
        <v>433</v>
      </c>
      <c r="C54" s="624">
        <f>SUM('4a.számú melléklet'!G214)</f>
        <v>1925832</v>
      </c>
      <c r="D54" s="624">
        <f>SUM('4a.számú melléklet'!H214)</f>
        <v>0</v>
      </c>
      <c r="E54" s="624">
        <f>SUM('4a.számú melléklet'!I214)</f>
        <v>0</v>
      </c>
      <c r="F54" s="624">
        <f>SUM('4a.számú melléklet'!J214)</f>
        <v>0</v>
      </c>
      <c r="G54" s="624">
        <f>SUM('4a.számú melléklet'!K214)</f>
        <v>0</v>
      </c>
    </row>
    <row r="55" spans="1:7" s="163" customFormat="1" ht="12.75" customHeight="1">
      <c r="A55" s="619"/>
      <c r="B55" s="625" t="s">
        <v>3</v>
      </c>
      <c r="C55" s="624">
        <f>SUM('4a.számú melléklet'!G215)</f>
        <v>78000</v>
      </c>
      <c r="D55" s="624">
        <f>SUM('4a.számú melléklet'!H215)</f>
        <v>63366</v>
      </c>
      <c r="E55" s="624">
        <f>SUM('4a.számú melléklet'!I215)</f>
        <v>3445</v>
      </c>
      <c r="F55" s="624">
        <f>SUM('4a.számú melléklet'!J215)</f>
        <v>-2073</v>
      </c>
      <c r="G55" s="624">
        <f>SUM('4a.számú melléklet'!K215)</f>
        <v>1372</v>
      </c>
    </row>
    <row r="56" spans="1:7" s="163" customFormat="1" ht="12.75" customHeight="1">
      <c r="A56" s="619"/>
      <c r="B56" s="626" t="s">
        <v>434</v>
      </c>
      <c r="C56" s="624">
        <f>SUM('4a.számú melléklet'!G216)</f>
        <v>941684</v>
      </c>
      <c r="D56" s="624">
        <f>SUM('4a.számú melléklet'!H216)</f>
        <v>1932328</v>
      </c>
      <c r="E56" s="624">
        <f>SUM('4a.számú melléklet'!I216)</f>
        <v>2065752</v>
      </c>
      <c r="F56" s="624">
        <f>SUM('4a.számú melléklet'!J216)</f>
        <v>182</v>
      </c>
      <c r="G56" s="624">
        <f>SUM('4a.számú melléklet'!K216)</f>
        <v>2065934</v>
      </c>
    </row>
    <row r="57" spans="1:7" s="161" customFormat="1" ht="12.75" customHeight="1">
      <c r="A57" s="604"/>
      <c r="B57" s="160" t="s">
        <v>4</v>
      </c>
      <c r="C57" s="623">
        <f>SUM(C28,C47,C48,C53)</f>
        <v>8230690</v>
      </c>
      <c r="D57" s="623">
        <f>SUM(D28,D47,D48,D53)</f>
        <v>13078759</v>
      </c>
      <c r="E57" s="623">
        <f>SUM(E28,E47,E48,E53)</f>
        <v>13452812</v>
      </c>
      <c r="F57" s="623">
        <f>SUM(F28,F47,F48,F53)</f>
        <v>-459012</v>
      </c>
      <c r="G57" s="623">
        <f>SUM(G28,G47,G48,G53)</f>
        <v>12993800</v>
      </c>
    </row>
    <row r="58" spans="1:7" s="161" customFormat="1" ht="12.75" customHeight="1">
      <c r="A58" s="604" t="s">
        <v>327</v>
      </c>
      <c r="B58" s="600" t="s">
        <v>362</v>
      </c>
      <c r="C58" s="623">
        <f>SUM('4a.számú melléklet'!G217)</f>
        <v>212048</v>
      </c>
      <c r="D58" s="623">
        <f>SUM('4a.számú melléklet'!H217)</f>
        <v>212048</v>
      </c>
      <c r="E58" s="623">
        <f>SUM('4a.számú melléklet'!I217)</f>
        <v>212048</v>
      </c>
      <c r="F58" s="623">
        <f>SUM('4a.számú melléklet'!J217)</f>
        <v>0</v>
      </c>
      <c r="G58" s="623">
        <f>SUM('4a.számú melléklet'!K217)</f>
        <v>212048</v>
      </c>
    </row>
    <row r="59" spans="1:7" s="163" customFormat="1" ht="12.75" customHeight="1">
      <c r="A59" s="619"/>
      <c r="B59" s="448" t="s">
        <v>399</v>
      </c>
      <c r="C59" s="624">
        <f>SUM('4a.számú melléklet'!G218)</f>
        <v>76985</v>
      </c>
      <c r="D59" s="624">
        <f>SUM('4a.számú melléklet'!H218)</f>
        <v>76985</v>
      </c>
      <c r="E59" s="624">
        <f>SUM('4a.számú melléklet'!I218)</f>
        <v>76985</v>
      </c>
      <c r="F59" s="624">
        <f>SUM('4a.számú melléklet'!J218)</f>
        <v>0</v>
      </c>
      <c r="G59" s="624">
        <f>SUM('4a.számú melléklet'!K218)</f>
        <v>76985</v>
      </c>
    </row>
    <row r="60" spans="1:7" s="163" customFormat="1" ht="12.75" customHeight="1">
      <c r="A60" s="619"/>
      <c r="B60" s="448" t="s">
        <v>255</v>
      </c>
      <c r="C60" s="624">
        <f>SUM('4a.számú melléklet'!G219)</f>
        <v>135063</v>
      </c>
      <c r="D60" s="624">
        <f>SUM('4a.számú melléklet'!H219)</f>
        <v>135063</v>
      </c>
      <c r="E60" s="624">
        <f>SUM('4a.számú melléklet'!I219)</f>
        <v>135063</v>
      </c>
      <c r="F60" s="624">
        <f>SUM('4a.számú melléklet'!J219)</f>
        <v>0</v>
      </c>
      <c r="G60" s="624">
        <f>SUM('4a.számú melléklet'!K219)</f>
        <v>135063</v>
      </c>
    </row>
    <row r="61" spans="1:7" s="163" customFormat="1" ht="12.75" customHeight="1">
      <c r="A61" s="619"/>
      <c r="B61" s="627" t="s">
        <v>432</v>
      </c>
      <c r="C61" s="624">
        <f>SUM('4a.számú melléklet'!G220)</f>
        <v>0</v>
      </c>
      <c r="D61" s="624">
        <f>SUM('4a.számú melléklet'!H220)</f>
        <v>0</v>
      </c>
      <c r="E61" s="624">
        <f>SUM('4a.számú melléklet'!I220)</f>
        <v>0</v>
      </c>
      <c r="F61" s="624">
        <f>SUM('4a.számú melléklet'!J220)</f>
        <v>0</v>
      </c>
      <c r="G61" s="624">
        <f>SUM('4a.számú melléklet'!K220)</f>
        <v>0</v>
      </c>
    </row>
    <row r="62" spans="1:7" s="163" customFormat="1" ht="12.75" customHeight="1">
      <c r="A62" s="619"/>
      <c r="B62" s="162" t="s">
        <v>315</v>
      </c>
      <c r="C62" s="628">
        <f>SUM(C57:C58)</f>
        <v>8442738</v>
      </c>
      <c r="D62" s="628">
        <f>SUM(D57:D58)</f>
        <v>13290807</v>
      </c>
      <c r="E62" s="628">
        <f>SUM(E57:E58)</f>
        <v>13664860</v>
      </c>
      <c r="F62" s="628">
        <f>SUM(F57:F58)</f>
        <v>-459012</v>
      </c>
      <c r="G62" s="628">
        <f>SUM(G57:G58)</f>
        <v>13205848</v>
      </c>
    </row>
    <row r="63" spans="1:7" s="612" customFormat="1" ht="12.75" customHeight="1">
      <c r="A63" s="604" t="s">
        <v>331</v>
      </c>
      <c r="B63" s="158" t="s">
        <v>427</v>
      </c>
      <c r="C63" s="624">
        <f>SUM('4a.számú melléklet'!G221)</f>
        <v>7171759</v>
      </c>
      <c r="D63" s="624">
        <f>SUM('4a.számú melléklet'!H221)</f>
        <v>7932503</v>
      </c>
      <c r="E63" s="624">
        <f>SUM('4a.számú melléklet'!I221)</f>
        <v>7939942</v>
      </c>
      <c r="F63" s="624">
        <f>SUM('4a.számú melléklet'!J221)</f>
        <v>584681</v>
      </c>
      <c r="G63" s="624">
        <f>SUM('4a.számú melléklet'!K221)</f>
        <v>8524623</v>
      </c>
    </row>
    <row r="64" spans="1:7" s="163" customFormat="1" ht="12.75" customHeight="1">
      <c r="A64" s="619"/>
      <c r="B64" s="620" t="s">
        <v>316</v>
      </c>
      <c r="C64" s="628">
        <f>SUM(C62:C63)</f>
        <v>15614497</v>
      </c>
      <c r="D64" s="628">
        <f>SUM(D62:D63)</f>
        <v>21223310</v>
      </c>
      <c r="E64" s="628">
        <f>SUM(E62:E63)</f>
        <v>21604802</v>
      </c>
      <c r="F64" s="628">
        <f>SUM(F62:F63)</f>
        <v>125669</v>
      </c>
      <c r="G64" s="628">
        <f>SUM(G62:G63)</f>
        <v>21730471</v>
      </c>
    </row>
    <row r="65" spans="1:7" s="163" customFormat="1" ht="12.75" customHeight="1">
      <c r="A65" s="619"/>
      <c r="B65" s="620"/>
      <c r="C65" s="628"/>
      <c r="D65" s="628"/>
      <c r="E65" s="628"/>
      <c r="F65" s="628"/>
      <c r="G65" s="628"/>
    </row>
    <row r="66" spans="1:7" s="612" customFormat="1" ht="12.75" customHeight="1">
      <c r="A66" s="617"/>
      <c r="B66" s="11" t="s">
        <v>311</v>
      </c>
      <c r="C66" s="629"/>
      <c r="D66" s="629"/>
      <c r="E66" s="629"/>
      <c r="F66" s="630"/>
      <c r="G66" s="631"/>
    </row>
    <row r="67" spans="1:7" s="612" customFormat="1" ht="12.75" customHeight="1">
      <c r="A67" s="617" t="s">
        <v>208</v>
      </c>
      <c r="B67" s="632" t="s">
        <v>234</v>
      </c>
      <c r="C67" s="501">
        <v>37900</v>
      </c>
      <c r="D67" s="501">
        <v>37900</v>
      </c>
      <c r="E67" s="501">
        <v>37900</v>
      </c>
      <c r="F67" s="633">
        <v>0</v>
      </c>
      <c r="G67" s="633">
        <f>SUM(E67:F67)</f>
        <v>37900</v>
      </c>
    </row>
    <row r="68" spans="1:7" s="161" customFormat="1" ht="12">
      <c r="A68" s="617" t="s">
        <v>209</v>
      </c>
      <c r="B68" s="632" t="s">
        <v>414</v>
      </c>
      <c r="C68" s="501">
        <v>98773</v>
      </c>
      <c r="D68" s="501">
        <v>104273</v>
      </c>
      <c r="E68" s="501">
        <v>105019</v>
      </c>
      <c r="F68" s="633">
        <v>400</v>
      </c>
      <c r="G68" s="633">
        <f aca="true" t="shared" si="0" ref="G68:G98">SUM(E68:F68)</f>
        <v>105419</v>
      </c>
    </row>
    <row r="69" spans="1:7" s="612" customFormat="1" ht="12">
      <c r="A69" s="617" t="s">
        <v>210</v>
      </c>
      <c r="B69" s="634" t="s">
        <v>181</v>
      </c>
      <c r="C69" s="635">
        <v>1414</v>
      </c>
      <c r="D69" s="635">
        <v>1414</v>
      </c>
      <c r="E69" s="635">
        <v>1414</v>
      </c>
      <c r="F69" s="633">
        <v>0</v>
      </c>
      <c r="G69" s="633">
        <f t="shared" si="0"/>
        <v>1414</v>
      </c>
    </row>
    <row r="70" spans="1:7" s="612" customFormat="1" ht="12">
      <c r="A70" s="617" t="s">
        <v>182</v>
      </c>
      <c r="B70" s="636" t="s">
        <v>111</v>
      </c>
      <c r="C70" s="635">
        <v>359958</v>
      </c>
      <c r="D70" s="635">
        <v>359958</v>
      </c>
      <c r="E70" s="635">
        <v>359958</v>
      </c>
      <c r="F70" s="633">
        <v>0</v>
      </c>
      <c r="G70" s="633">
        <f t="shared" si="0"/>
        <v>359958</v>
      </c>
    </row>
    <row r="71" spans="1:7" s="161" customFormat="1" ht="12">
      <c r="A71" s="617" t="s">
        <v>183</v>
      </c>
      <c r="B71" s="636" t="s">
        <v>141</v>
      </c>
      <c r="C71" s="635">
        <v>162806</v>
      </c>
      <c r="D71" s="635">
        <v>163906</v>
      </c>
      <c r="E71" s="635">
        <v>163906</v>
      </c>
      <c r="F71" s="633">
        <v>0</v>
      </c>
      <c r="G71" s="633">
        <f t="shared" si="0"/>
        <v>163906</v>
      </c>
    </row>
    <row r="72" spans="1:7" s="161" customFormat="1" ht="12">
      <c r="A72" s="617" t="s">
        <v>184</v>
      </c>
      <c r="B72" s="634" t="s">
        <v>265</v>
      </c>
      <c r="C72" s="635">
        <v>6121672</v>
      </c>
      <c r="D72" s="635">
        <v>6121672</v>
      </c>
      <c r="E72" s="635">
        <v>6121672</v>
      </c>
      <c r="F72" s="633">
        <v>0</v>
      </c>
      <c r="G72" s="633">
        <f t="shared" si="0"/>
        <v>6121672</v>
      </c>
    </row>
    <row r="73" spans="1:7" s="161" customFormat="1" ht="12">
      <c r="A73" s="617" t="s">
        <v>185</v>
      </c>
      <c r="B73" s="634" t="s">
        <v>146</v>
      </c>
      <c r="C73" s="635">
        <v>975389</v>
      </c>
      <c r="D73" s="635">
        <v>975389</v>
      </c>
      <c r="E73" s="635">
        <v>975389</v>
      </c>
      <c r="F73" s="633">
        <v>0</v>
      </c>
      <c r="G73" s="633">
        <f t="shared" si="0"/>
        <v>975389</v>
      </c>
    </row>
    <row r="74" spans="1:7" s="161" customFormat="1" ht="12">
      <c r="A74" s="617" t="s">
        <v>186</v>
      </c>
      <c r="B74" s="634" t="s">
        <v>264</v>
      </c>
      <c r="C74" s="635">
        <v>3500</v>
      </c>
      <c r="D74" s="635">
        <v>3500</v>
      </c>
      <c r="E74" s="635">
        <v>3500</v>
      </c>
      <c r="F74" s="633">
        <v>0</v>
      </c>
      <c r="G74" s="633">
        <f t="shared" si="0"/>
        <v>3500</v>
      </c>
    </row>
    <row r="75" spans="1:7" s="161" customFormat="1" ht="12">
      <c r="A75" s="617" t="s">
        <v>187</v>
      </c>
      <c r="B75" s="634" t="s">
        <v>156</v>
      </c>
      <c r="C75" s="635">
        <v>591060</v>
      </c>
      <c r="D75" s="635">
        <v>591060</v>
      </c>
      <c r="E75" s="635">
        <v>591060</v>
      </c>
      <c r="F75" s="633">
        <v>0</v>
      </c>
      <c r="G75" s="637">
        <f t="shared" si="0"/>
        <v>591060</v>
      </c>
    </row>
    <row r="76" spans="1:16" s="161" customFormat="1" ht="25.5" customHeight="1">
      <c r="A76" s="609" t="s">
        <v>188</v>
      </c>
      <c r="B76" s="638" t="s">
        <v>62</v>
      </c>
      <c r="C76" s="639">
        <v>146877</v>
      </c>
      <c r="D76" s="640">
        <v>320735</v>
      </c>
      <c r="E76" s="640">
        <v>399632</v>
      </c>
      <c r="F76" s="641">
        <v>4511</v>
      </c>
      <c r="G76" s="637">
        <f t="shared" si="0"/>
        <v>404143</v>
      </c>
      <c r="H76" s="612"/>
      <c r="I76" s="612"/>
      <c r="J76" s="612"/>
      <c r="K76" s="612"/>
      <c r="L76" s="612"/>
      <c r="M76" s="642"/>
      <c r="N76" s="642"/>
      <c r="O76" s="642"/>
      <c r="P76" s="643"/>
    </row>
    <row r="77" spans="1:7" s="161" customFormat="1" ht="11.25" customHeight="1">
      <c r="A77" s="613"/>
      <c r="B77" s="614" t="s">
        <v>288</v>
      </c>
      <c r="C77" s="644">
        <v>0</v>
      </c>
      <c r="D77" s="645">
        <v>163300</v>
      </c>
      <c r="E77" s="645">
        <v>163300</v>
      </c>
      <c r="F77" s="646">
        <v>0</v>
      </c>
      <c r="G77" s="647">
        <f t="shared" si="0"/>
        <v>163300</v>
      </c>
    </row>
    <row r="78" spans="1:7" s="161" customFormat="1" ht="24.75" customHeight="1">
      <c r="A78" s="617" t="s">
        <v>189</v>
      </c>
      <c r="B78" s="648" t="s">
        <v>119</v>
      </c>
      <c r="C78" s="649">
        <v>0</v>
      </c>
      <c r="D78" s="649">
        <v>350</v>
      </c>
      <c r="E78" s="649">
        <v>29200</v>
      </c>
      <c r="F78" s="633">
        <v>0</v>
      </c>
      <c r="G78" s="647">
        <f t="shared" si="0"/>
        <v>29200</v>
      </c>
    </row>
    <row r="79" spans="1:9" s="161" customFormat="1" ht="12">
      <c r="A79" s="617" t="s">
        <v>190</v>
      </c>
      <c r="B79" s="634" t="s">
        <v>144</v>
      </c>
      <c r="C79" s="635">
        <v>3917394</v>
      </c>
      <c r="D79" s="635">
        <v>3917394</v>
      </c>
      <c r="E79" s="635">
        <v>3931861</v>
      </c>
      <c r="F79" s="633">
        <v>-10518</v>
      </c>
      <c r="G79" s="633">
        <f t="shared" si="0"/>
        <v>3921343</v>
      </c>
      <c r="H79" s="612"/>
      <c r="I79" s="612"/>
    </row>
    <row r="80" spans="1:7" s="163" customFormat="1" ht="12">
      <c r="A80" s="650" t="s">
        <v>80</v>
      </c>
      <c r="B80" s="629" t="s">
        <v>445</v>
      </c>
      <c r="C80" s="651">
        <f>SUM(C67:C79)-C77</f>
        <v>12416743</v>
      </c>
      <c r="D80" s="651">
        <f>SUM(D67:D79)-D77</f>
        <v>12597551</v>
      </c>
      <c r="E80" s="651">
        <f>SUM(E67:E79)-E77</f>
        <v>12720511</v>
      </c>
      <c r="F80" s="651">
        <f>SUM(F67:F79)-F77</f>
        <v>-5607</v>
      </c>
      <c r="G80" s="652">
        <f t="shared" si="0"/>
        <v>12714904</v>
      </c>
    </row>
    <row r="81" spans="1:13" s="612" customFormat="1" ht="12">
      <c r="A81" s="609" t="s">
        <v>191</v>
      </c>
      <c r="B81" s="638" t="s">
        <v>63</v>
      </c>
      <c r="C81" s="639">
        <v>0</v>
      </c>
      <c r="D81" s="640">
        <v>50000</v>
      </c>
      <c r="E81" s="640">
        <v>86810</v>
      </c>
      <c r="F81" s="641">
        <v>0</v>
      </c>
      <c r="G81" s="637">
        <f t="shared" si="0"/>
        <v>86810</v>
      </c>
      <c r="L81" s="642"/>
      <c r="M81" s="642"/>
    </row>
    <row r="82" spans="1:7" s="612" customFormat="1" ht="12">
      <c r="A82" s="613"/>
      <c r="B82" s="614" t="s">
        <v>288</v>
      </c>
      <c r="C82" s="644">
        <v>0</v>
      </c>
      <c r="D82" s="645">
        <v>50000</v>
      </c>
      <c r="E82" s="645">
        <v>50000</v>
      </c>
      <c r="F82" s="646">
        <v>0</v>
      </c>
      <c r="G82" s="647">
        <f t="shared" si="0"/>
        <v>50000</v>
      </c>
    </row>
    <row r="83" spans="1:7" s="612" customFormat="1" ht="24">
      <c r="A83" s="617" t="s">
        <v>324</v>
      </c>
      <c r="B83" s="648" t="s">
        <v>481</v>
      </c>
      <c r="C83" s="649">
        <v>0</v>
      </c>
      <c r="D83" s="649">
        <v>94993</v>
      </c>
      <c r="E83" s="649">
        <v>244256</v>
      </c>
      <c r="F83" s="633">
        <v>1000</v>
      </c>
      <c r="G83" s="647">
        <f t="shared" si="0"/>
        <v>245256</v>
      </c>
    </row>
    <row r="84" spans="1:7" s="612" customFormat="1" ht="12">
      <c r="A84" s="617" t="s">
        <v>325</v>
      </c>
      <c r="B84" s="634" t="s">
        <v>303</v>
      </c>
      <c r="C84" s="635">
        <v>245796</v>
      </c>
      <c r="D84" s="635">
        <v>245796</v>
      </c>
      <c r="E84" s="635">
        <v>245796</v>
      </c>
      <c r="F84" s="633">
        <v>0</v>
      </c>
      <c r="G84" s="633">
        <f t="shared" si="0"/>
        <v>245796</v>
      </c>
    </row>
    <row r="85" spans="1:7" s="612" customFormat="1" ht="12">
      <c r="A85" s="617" t="s">
        <v>327</v>
      </c>
      <c r="B85" s="634" t="s">
        <v>155</v>
      </c>
      <c r="C85" s="635">
        <v>95963</v>
      </c>
      <c r="D85" s="635">
        <v>95963</v>
      </c>
      <c r="E85" s="635">
        <v>95963</v>
      </c>
      <c r="F85" s="633">
        <v>0</v>
      </c>
      <c r="G85" s="633">
        <f t="shared" si="0"/>
        <v>95963</v>
      </c>
    </row>
    <row r="86" spans="1:7" s="163" customFormat="1" ht="12">
      <c r="A86" s="650" t="s">
        <v>329</v>
      </c>
      <c r="B86" s="629" t="s">
        <v>305</v>
      </c>
      <c r="C86" s="651">
        <f>SUM(C81:C85)-C82</f>
        <v>341759</v>
      </c>
      <c r="D86" s="651">
        <f>SUM(D81:D85)-D82</f>
        <v>486752</v>
      </c>
      <c r="E86" s="651">
        <f>SUM(E81:E85)-E82</f>
        <v>672825</v>
      </c>
      <c r="F86" s="651">
        <f>SUM(F81:F85)-F82</f>
        <v>1000</v>
      </c>
      <c r="G86" s="651">
        <f t="shared" si="0"/>
        <v>673825</v>
      </c>
    </row>
    <row r="87" spans="1:7" s="163" customFormat="1" ht="24">
      <c r="A87" s="650" t="s">
        <v>331</v>
      </c>
      <c r="B87" s="653" t="s">
        <v>317</v>
      </c>
      <c r="C87" s="654">
        <v>20395</v>
      </c>
      <c r="D87" s="654">
        <v>20395</v>
      </c>
      <c r="E87" s="654">
        <v>20395</v>
      </c>
      <c r="F87" s="651">
        <v>0</v>
      </c>
      <c r="G87" s="651">
        <f t="shared" si="0"/>
        <v>20395</v>
      </c>
    </row>
    <row r="88" spans="1:7" s="163" customFormat="1" ht="12">
      <c r="A88" s="650" t="s">
        <v>333</v>
      </c>
      <c r="B88" s="653" t="s">
        <v>46</v>
      </c>
      <c r="C88" s="654">
        <v>0</v>
      </c>
      <c r="D88" s="654">
        <v>0</v>
      </c>
      <c r="E88" s="654">
        <v>0</v>
      </c>
      <c r="F88" s="651">
        <v>0</v>
      </c>
      <c r="G88" s="633">
        <f t="shared" si="0"/>
        <v>0</v>
      </c>
    </row>
    <row r="89" spans="1:7" s="163" customFormat="1" ht="12">
      <c r="A89" s="617" t="s">
        <v>334</v>
      </c>
      <c r="B89" s="634" t="s">
        <v>49</v>
      </c>
      <c r="C89" s="635">
        <v>0</v>
      </c>
      <c r="D89" s="635">
        <v>6121567</v>
      </c>
      <c r="E89" s="635">
        <v>6121567</v>
      </c>
      <c r="F89" s="633">
        <v>0</v>
      </c>
      <c r="G89" s="633">
        <f t="shared" si="0"/>
        <v>6121567</v>
      </c>
    </row>
    <row r="90" spans="1:7" s="163" customFormat="1" ht="12">
      <c r="A90" s="619" t="s">
        <v>340</v>
      </c>
      <c r="B90" s="629" t="s">
        <v>448</v>
      </c>
      <c r="C90" s="655">
        <f>SUM(C89:C89)</f>
        <v>0</v>
      </c>
      <c r="D90" s="655">
        <f>SUM(D89:D89)</f>
        <v>6121567</v>
      </c>
      <c r="E90" s="655">
        <f>SUM(E89:E89)</f>
        <v>6121567</v>
      </c>
      <c r="F90" s="655">
        <f>SUM(F89:F89)</f>
        <v>0</v>
      </c>
      <c r="G90" s="651">
        <f t="shared" si="0"/>
        <v>6121567</v>
      </c>
    </row>
    <row r="91" spans="1:7" s="163" customFormat="1" ht="12">
      <c r="A91" s="619"/>
      <c r="B91" s="629" t="s">
        <v>629</v>
      </c>
      <c r="C91" s="655">
        <f>SUM(C80,C86,C87,C88,C90)</f>
        <v>12778897</v>
      </c>
      <c r="D91" s="655">
        <f>SUM(D80,D86,D87,D88,D90)</f>
        <v>19226265</v>
      </c>
      <c r="E91" s="655">
        <f>SUM(E80,E86,E87,E88,E90)</f>
        <v>19535298</v>
      </c>
      <c r="F91" s="655">
        <f>SUM(F80,F86,F87,F88,F90)</f>
        <v>-4607</v>
      </c>
      <c r="G91" s="651">
        <f t="shared" si="0"/>
        <v>19530691</v>
      </c>
    </row>
    <row r="92" spans="1:7" s="163" customFormat="1" ht="12">
      <c r="A92" s="617" t="s">
        <v>336</v>
      </c>
      <c r="B92" s="47" t="s">
        <v>206</v>
      </c>
      <c r="C92" s="501">
        <v>0</v>
      </c>
      <c r="D92" s="501">
        <v>0</v>
      </c>
      <c r="E92" s="501">
        <v>0</v>
      </c>
      <c r="F92" s="633">
        <v>0</v>
      </c>
      <c r="G92" s="633">
        <f t="shared" si="0"/>
        <v>0</v>
      </c>
    </row>
    <row r="93" spans="1:7" s="163" customFormat="1" ht="12">
      <c r="A93" s="617" t="s">
        <v>337</v>
      </c>
      <c r="B93" s="47" t="s">
        <v>256</v>
      </c>
      <c r="C93" s="501">
        <v>0</v>
      </c>
      <c r="D93" s="501">
        <v>0</v>
      </c>
      <c r="E93" s="501">
        <v>0</v>
      </c>
      <c r="F93" s="633">
        <v>0</v>
      </c>
      <c r="G93" s="633">
        <f t="shared" si="0"/>
        <v>0</v>
      </c>
    </row>
    <row r="94" spans="1:7" s="163" customFormat="1" ht="12">
      <c r="A94" s="617" t="s">
        <v>338</v>
      </c>
      <c r="B94" s="47" t="s">
        <v>287</v>
      </c>
      <c r="C94" s="501">
        <v>0</v>
      </c>
      <c r="D94" s="501">
        <v>0</v>
      </c>
      <c r="E94" s="501">
        <v>0</v>
      </c>
      <c r="F94" s="633">
        <v>0</v>
      </c>
      <c r="G94" s="633">
        <f t="shared" si="0"/>
        <v>0</v>
      </c>
    </row>
    <row r="95" spans="1:7" s="163" customFormat="1" ht="12">
      <c r="A95" s="617" t="s">
        <v>341</v>
      </c>
      <c r="B95" s="47" t="s">
        <v>90</v>
      </c>
      <c r="C95" s="501">
        <v>0</v>
      </c>
      <c r="D95" s="501">
        <v>0</v>
      </c>
      <c r="E95" s="501">
        <v>0</v>
      </c>
      <c r="F95" s="633">
        <v>0</v>
      </c>
      <c r="G95" s="633">
        <f t="shared" si="0"/>
        <v>0</v>
      </c>
    </row>
    <row r="96" spans="1:7" s="163" customFormat="1" ht="12">
      <c r="A96" s="617" t="s">
        <v>103</v>
      </c>
      <c r="B96" s="47" t="s">
        <v>115</v>
      </c>
      <c r="C96" s="501">
        <v>2835600</v>
      </c>
      <c r="D96" s="633">
        <f>D64-D91</f>
        <v>1997045</v>
      </c>
      <c r="E96" s="633">
        <v>2069504</v>
      </c>
      <c r="F96" s="633">
        <f>F64-F91</f>
        <v>130276</v>
      </c>
      <c r="G96" s="633">
        <f t="shared" si="0"/>
        <v>2199780</v>
      </c>
    </row>
    <row r="97" spans="1:7" s="163" customFormat="1" ht="12" customHeight="1">
      <c r="A97" s="650" t="s">
        <v>105</v>
      </c>
      <c r="B97" s="653" t="s">
        <v>630</v>
      </c>
      <c r="C97" s="655">
        <f>SUM(C92:C96)</f>
        <v>2835600</v>
      </c>
      <c r="D97" s="655">
        <f>SUM(D92:D96)</f>
        <v>1997045</v>
      </c>
      <c r="E97" s="655">
        <f>SUM(E92:E96)</f>
        <v>2069504</v>
      </c>
      <c r="F97" s="655">
        <f>SUM(F92:F96)</f>
        <v>130276</v>
      </c>
      <c r="G97" s="651">
        <f t="shared" si="0"/>
        <v>2199780</v>
      </c>
    </row>
    <row r="98" spans="1:7" s="163" customFormat="1" ht="15" customHeight="1">
      <c r="A98" s="619"/>
      <c r="B98" s="620" t="s">
        <v>74</v>
      </c>
      <c r="C98" s="651">
        <f>SUM(C91,C97)</f>
        <v>15614497</v>
      </c>
      <c r="D98" s="651">
        <f>SUM(D91,D97)</f>
        <v>21223310</v>
      </c>
      <c r="E98" s="651">
        <f>SUM(E91,E97)</f>
        <v>21604802</v>
      </c>
      <c r="F98" s="651">
        <f>SUM(F91,F97)</f>
        <v>125669</v>
      </c>
      <c r="G98" s="651">
        <f t="shared" si="0"/>
        <v>21730471</v>
      </c>
    </row>
    <row r="99" ht="12" customHeight="1"/>
  </sheetData>
  <sheetProtection/>
  <mergeCells count="2">
    <mergeCell ref="A2:G2"/>
    <mergeCell ref="A4:G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CE,Normál"4.számú melléklet
</oddHeader>
    <oddFooter>&amp;L&amp;"Times New Roman CE,Normál"&amp;8&amp;F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Q799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.8515625" style="289" customWidth="1"/>
    <col min="2" max="2" width="1.7109375" style="289" customWidth="1"/>
    <col min="3" max="3" width="1.8515625" style="289" customWidth="1"/>
    <col min="4" max="5" width="11.57421875" style="290" hidden="1" customWidth="1"/>
    <col min="6" max="6" width="38.28125" style="290" customWidth="1"/>
    <col min="7" max="7" width="8.8515625" style="291" customWidth="1"/>
    <col min="8" max="9" width="11.28125" style="291" customWidth="1"/>
    <col min="10" max="10" width="8.57421875" style="292" customWidth="1"/>
    <col min="11" max="11" width="12.28125" style="292" customWidth="1"/>
    <col min="12" max="12" width="8.421875" style="266" customWidth="1"/>
    <col min="13" max="13" width="6.00390625" style="266" customWidth="1"/>
    <col min="14" max="15" width="6.7109375" style="266" customWidth="1"/>
    <col min="16" max="16" width="6.140625" style="266" customWidth="1"/>
    <col min="17" max="17" width="6.00390625" style="266" customWidth="1"/>
    <col min="18" max="18" width="6.57421875" style="266" customWidth="1"/>
    <col min="19" max="19" width="6.7109375" style="266" customWidth="1"/>
    <col min="20" max="20" width="7.140625" style="266" customWidth="1"/>
    <col min="21" max="21" width="7.421875" style="266" customWidth="1"/>
    <col min="22" max="23" width="9.140625" style="266" customWidth="1"/>
    <col min="24" max="24" width="6.00390625" style="266" customWidth="1"/>
    <col min="25" max="26" width="6.57421875" style="266" customWidth="1"/>
    <col min="27" max="69" width="9.140625" style="123" customWidth="1"/>
    <col min="70" max="16384" width="9.140625" style="124" customWidth="1"/>
  </cols>
  <sheetData>
    <row r="1" spans="1:11" ht="18" customHeight="1">
      <c r="A1" s="870" t="s">
        <v>285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</row>
    <row r="2" spans="1:11" ht="18" customHeight="1">
      <c r="A2" s="870" t="s">
        <v>435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</row>
    <row r="3" spans="1:11" ht="18" customHeight="1">
      <c r="A3" s="870" t="s">
        <v>485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</row>
    <row r="4" spans="1:69" s="597" customFormat="1" ht="18" customHeight="1">
      <c r="A4" s="593"/>
      <c r="B4" s="593"/>
      <c r="C4" s="593"/>
      <c r="D4" s="594"/>
      <c r="E4" s="594"/>
      <c r="F4" s="594"/>
      <c r="G4" s="595"/>
      <c r="H4" s="595"/>
      <c r="I4" s="595"/>
      <c r="J4" s="596"/>
      <c r="K4" s="690" t="s">
        <v>377</v>
      </c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</row>
    <row r="5" spans="1:69" s="597" customFormat="1" ht="38.25" customHeight="1">
      <c r="A5" s="119" t="s">
        <v>215</v>
      </c>
      <c r="B5" s="710" t="s">
        <v>378</v>
      </c>
      <c r="C5" s="598"/>
      <c r="D5" s="599" t="s">
        <v>268</v>
      </c>
      <c r="E5" s="599" t="s">
        <v>453</v>
      </c>
      <c r="F5" s="709"/>
      <c r="G5" s="557" t="s">
        <v>297</v>
      </c>
      <c r="H5" s="558" t="s">
        <v>570</v>
      </c>
      <c r="I5" s="558" t="s">
        <v>636</v>
      </c>
      <c r="J5" s="555" t="s">
        <v>572</v>
      </c>
      <c r="K5" s="558" t="s">
        <v>716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</row>
    <row r="6" spans="1:69" s="294" customFormat="1" ht="9.75" customHeight="1">
      <c r="A6" s="691" t="s">
        <v>208</v>
      </c>
      <c r="B6" s="692" t="s">
        <v>209</v>
      </c>
      <c r="C6" s="692"/>
      <c r="D6" s="693" t="s">
        <v>379</v>
      </c>
      <c r="E6" s="693" t="s">
        <v>267</v>
      </c>
      <c r="F6" s="694"/>
      <c r="G6" s="702" t="s">
        <v>210</v>
      </c>
      <c r="H6" s="702" t="s">
        <v>182</v>
      </c>
      <c r="I6" s="702" t="s">
        <v>183</v>
      </c>
      <c r="J6" s="702" t="s">
        <v>184</v>
      </c>
      <c r="K6" s="702" t="s">
        <v>185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</row>
    <row r="7" spans="1:69" s="305" customFormat="1" ht="13.5" customHeight="1">
      <c r="A7" s="295" t="s">
        <v>208</v>
      </c>
      <c r="B7" s="296" t="s">
        <v>454</v>
      </c>
      <c r="C7" s="297"/>
      <c r="D7" s="298">
        <f>SUM(D8:D10)</f>
        <v>45957</v>
      </c>
      <c r="E7" s="298">
        <f>SUM(E8:E10)</f>
        <v>42105</v>
      </c>
      <c r="F7" s="299"/>
      <c r="G7" s="300">
        <f>SUM(G8:G12)</f>
        <v>414925</v>
      </c>
      <c r="H7" s="300">
        <f>SUM(H8:H12)</f>
        <v>680800</v>
      </c>
      <c r="I7" s="300">
        <f>SUM(I8:I12)</f>
        <v>680800</v>
      </c>
      <c r="J7" s="301">
        <f>SUM(J8:J12)</f>
        <v>215516</v>
      </c>
      <c r="K7" s="311">
        <f>SUM(I7:J7)</f>
        <v>896316</v>
      </c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</row>
    <row r="8" spans="1:11" ht="13.5" customHeight="1">
      <c r="A8" s="33"/>
      <c r="B8" s="121"/>
      <c r="C8" s="121" t="s">
        <v>132</v>
      </c>
      <c r="D8" s="306">
        <v>45957</v>
      </c>
      <c r="E8" s="307">
        <v>42105</v>
      </c>
      <c r="F8" s="308"/>
      <c r="G8" s="122">
        <v>306667</v>
      </c>
      <c r="H8" s="122">
        <v>431199</v>
      </c>
      <c r="I8" s="122">
        <v>431199</v>
      </c>
      <c r="J8" s="122">
        <v>59016</v>
      </c>
      <c r="K8" s="122">
        <f>SUM(I8:J8)</f>
        <v>490215</v>
      </c>
    </row>
    <row r="9" spans="1:11" ht="13.5" customHeight="1">
      <c r="A9" s="33"/>
      <c r="B9" s="121"/>
      <c r="C9" s="121" t="s">
        <v>428</v>
      </c>
      <c r="D9" s="306"/>
      <c r="E9" s="307"/>
      <c r="F9" s="308"/>
      <c r="G9" s="122">
        <v>103258</v>
      </c>
      <c r="H9" s="122">
        <v>118089</v>
      </c>
      <c r="I9" s="122">
        <v>118089</v>
      </c>
      <c r="J9" s="122">
        <v>0</v>
      </c>
      <c r="K9" s="122">
        <f aca="true" t="shared" si="0" ref="K9:K72">SUM(I9:J9)</f>
        <v>118089</v>
      </c>
    </row>
    <row r="10" spans="1:11" ht="13.5" customHeight="1">
      <c r="A10" s="33"/>
      <c r="B10" s="121"/>
      <c r="C10" s="121" t="s">
        <v>172</v>
      </c>
      <c r="D10" s="306">
        <v>0</v>
      </c>
      <c r="E10" s="307"/>
      <c r="F10" s="308"/>
      <c r="G10" s="122">
        <v>0</v>
      </c>
      <c r="H10" s="122">
        <v>38897</v>
      </c>
      <c r="I10" s="122">
        <v>38897</v>
      </c>
      <c r="J10" s="122">
        <v>28000</v>
      </c>
      <c r="K10" s="122">
        <f t="shared" si="0"/>
        <v>66897</v>
      </c>
    </row>
    <row r="11" spans="1:11" ht="13.5" customHeight="1">
      <c r="A11" s="33"/>
      <c r="B11" s="121"/>
      <c r="C11" s="121" t="s">
        <v>134</v>
      </c>
      <c r="D11" s="306"/>
      <c r="E11" s="307"/>
      <c r="F11" s="308"/>
      <c r="G11" s="122">
        <v>0</v>
      </c>
      <c r="H11" s="122">
        <v>0</v>
      </c>
      <c r="I11" s="122">
        <v>0</v>
      </c>
      <c r="J11" s="122">
        <v>0</v>
      </c>
      <c r="K11" s="122">
        <f t="shared" si="0"/>
        <v>0</v>
      </c>
    </row>
    <row r="12" spans="1:14" ht="13.5" customHeight="1">
      <c r="A12" s="33"/>
      <c r="B12" s="121"/>
      <c r="C12" s="121" t="s">
        <v>174</v>
      </c>
      <c r="D12" s="306"/>
      <c r="E12" s="307"/>
      <c r="F12" s="308"/>
      <c r="G12" s="310">
        <v>5000</v>
      </c>
      <c r="H12" s="310">
        <v>92615</v>
      </c>
      <c r="I12" s="310">
        <v>92615</v>
      </c>
      <c r="J12" s="310">
        <v>128500</v>
      </c>
      <c r="K12" s="122">
        <f t="shared" si="0"/>
        <v>221115</v>
      </c>
      <c r="N12" s="309"/>
    </row>
    <row r="13" spans="1:69" s="305" customFormat="1" ht="13.5" customHeight="1">
      <c r="A13" s="295" t="s">
        <v>209</v>
      </c>
      <c r="B13" s="296" t="s">
        <v>110</v>
      </c>
      <c r="C13" s="297"/>
      <c r="D13" s="298">
        <f>SUM(D16:D19)</f>
        <v>0</v>
      </c>
      <c r="E13" s="298">
        <f>SUM(E16:E19)</f>
        <v>0</v>
      </c>
      <c r="F13" s="299"/>
      <c r="G13" s="300">
        <f>SUM(G14:G17)</f>
        <v>0</v>
      </c>
      <c r="H13" s="300">
        <f>SUM(H14:H17)</f>
        <v>220931</v>
      </c>
      <c r="I13" s="300">
        <f>SUM(I14:I17)</f>
        <v>200931</v>
      </c>
      <c r="J13" s="301">
        <f>SUM(J14:J17)</f>
        <v>137625</v>
      </c>
      <c r="K13" s="311">
        <f t="shared" si="0"/>
        <v>338556</v>
      </c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</row>
    <row r="14" spans="1:69" s="305" customFormat="1" ht="13.5" customHeight="1">
      <c r="A14" s="295"/>
      <c r="B14" s="296"/>
      <c r="C14" s="121" t="s">
        <v>132</v>
      </c>
      <c r="D14" s="298"/>
      <c r="E14" s="298"/>
      <c r="F14" s="299"/>
      <c r="G14" s="310">
        <v>0</v>
      </c>
      <c r="H14" s="310">
        <v>0</v>
      </c>
      <c r="I14" s="310">
        <v>0</v>
      </c>
      <c r="J14" s="310">
        <v>8760</v>
      </c>
      <c r="K14" s="122">
        <f t="shared" si="0"/>
        <v>8760</v>
      </c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</row>
    <row r="15" spans="1:69" s="305" customFormat="1" ht="13.5" customHeight="1">
      <c r="A15" s="295"/>
      <c r="B15" s="296"/>
      <c r="C15" s="121" t="s">
        <v>134</v>
      </c>
      <c r="D15" s="298"/>
      <c r="E15" s="298"/>
      <c r="F15" s="299"/>
      <c r="G15" s="310">
        <v>0</v>
      </c>
      <c r="H15" s="310">
        <v>5411</v>
      </c>
      <c r="I15" s="310">
        <v>5411</v>
      </c>
      <c r="J15" s="310">
        <v>0</v>
      </c>
      <c r="K15" s="122">
        <f t="shared" si="0"/>
        <v>5411</v>
      </c>
      <c r="L15" s="312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</row>
    <row r="16" spans="1:18" ht="13.5" customHeight="1">
      <c r="A16" s="33"/>
      <c r="B16" s="121"/>
      <c r="C16" s="121" t="s">
        <v>174</v>
      </c>
      <c r="D16" s="306"/>
      <c r="E16" s="307"/>
      <c r="F16" s="308"/>
      <c r="G16" s="310">
        <v>0</v>
      </c>
      <c r="H16" s="310">
        <v>215520</v>
      </c>
      <c r="I16" s="310">
        <v>195520</v>
      </c>
      <c r="J16" s="310">
        <v>128865</v>
      </c>
      <c r="K16" s="122">
        <f t="shared" si="0"/>
        <v>324385</v>
      </c>
      <c r="Q16" s="309"/>
      <c r="R16" s="309"/>
    </row>
    <row r="17" spans="1:11" ht="13.5" customHeight="1">
      <c r="A17" s="33"/>
      <c r="B17" s="121"/>
      <c r="C17" s="313" t="s">
        <v>429</v>
      </c>
      <c r="D17" s="306"/>
      <c r="E17" s="307"/>
      <c r="F17" s="308"/>
      <c r="G17" s="310">
        <v>0</v>
      </c>
      <c r="H17" s="310">
        <v>0</v>
      </c>
      <c r="I17" s="310">
        <v>0</v>
      </c>
      <c r="J17" s="310">
        <v>0</v>
      </c>
      <c r="K17" s="122">
        <f t="shared" si="0"/>
        <v>0</v>
      </c>
    </row>
    <row r="18" spans="1:69" s="305" customFormat="1" ht="13.5" customHeight="1">
      <c r="A18" s="295" t="s">
        <v>210</v>
      </c>
      <c r="B18" s="314" t="s">
        <v>171</v>
      </c>
      <c r="C18" s="315"/>
      <c r="D18" s="316"/>
      <c r="E18" s="316"/>
      <c r="F18" s="317"/>
      <c r="G18" s="318">
        <f>SUM(G19:G20)</f>
        <v>95963</v>
      </c>
      <c r="H18" s="318">
        <f>SUM(H19:H20)</f>
        <v>1514918</v>
      </c>
      <c r="I18" s="318">
        <f>SUM(I19:I20)</f>
        <v>1472728</v>
      </c>
      <c r="J18" s="319">
        <f>SUM(J19:J20)</f>
        <v>123646</v>
      </c>
      <c r="K18" s="311">
        <f t="shared" si="0"/>
        <v>1596374</v>
      </c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</row>
    <row r="19" spans="1:16" ht="13.5" customHeight="1">
      <c r="A19" s="33"/>
      <c r="B19" s="121"/>
      <c r="C19" s="121" t="s">
        <v>173</v>
      </c>
      <c r="D19" s="320"/>
      <c r="E19" s="320"/>
      <c r="F19" s="321"/>
      <c r="G19" s="122">
        <v>0</v>
      </c>
      <c r="H19" s="122">
        <v>234182</v>
      </c>
      <c r="I19" s="122">
        <v>199182</v>
      </c>
      <c r="J19" s="122">
        <v>123304</v>
      </c>
      <c r="K19" s="122">
        <f t="shared" si="0"/>
        <v>322486</v>
      </c>
      <c r="P19" s="309"/>
    </row>
    <row r="20" spans="1:26" ht="13.5" customHeight="1">
      <c r="A20" s="33"/>
      <c r="B20" s="121"/>
      <c r="C20" s="121" t="s">
        <v>174</v>
      </c>
      <c r="D20" s="320"/>
      <c r="E20" s="320"/>
      <c r="F20" s="321"/>
      <c r="G20" s="122">
        <v>95963</v>
      </c>
      <c r="H20" s="122">
        <v>1280736</v>
      </c>
      <c r="I20" s="122">
        <v>1273546</v>
      </c>
      <c r="J20" s="122">
        <v>342</v>
      </c>
      <c r="K20" s="122">
        <f t="shared" si="0"/>
        <v>1273888</v>
      </c>
      <c r="Y20" s="309"/>
      <c r="Z20" s="309"/>
    </row>
    <row r="21" spans="1:69" s="305" customFormat="1" ht="13.5" customHeight="1">
      <c r="A21" s="295" t="s">
        <v>182</v>
      </c>
      <c r="B21" s="314" t="s">
        <v>216</v>
      </c>
      <c r="C21" s="322"/>
      <c r="D21" s="323">
        <f>SUM(D22:D22)</f>
        <v>62700</v>
      </c>
      <c r="E21" s="323">
        <f>SUM(E22:E22)</f>
        <v>42800</v>
      </c>
      <c r="F21" s="324"/>
      <c r="G21" s="300">
        <f>SUM(G22:G23)</f>
        <v>412776</v>
      </c>
      <c r="H21" s="300">
        <f>SUM(H22:H23)</f>
        <v>453470</v>
      </c>
      <c r="I21" s="300">
        <f>SUM(I22:I23)</f>
        <v>453470</v>
      </c>
      <c r="J21" s="301">
        <f>SUM(J22:J23)</f>
        <v>0</v>
      </c>
      <c r="K21" s="311">
        <f t="shared" si="0"/>
        <v>453470</v>
      </c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</row>
    <row r="22" spans="1:12" ht="13.5" customHeight="1">
      <c r="A22" s="33"/>
      <c r="B22" s="121"/>
      <c r="C22" s="121" t="s">
        <v>132</v>
      </c>
      <c r="D22" s="306">
        <v>62700</v>
      </c>
      <c r="E22" s="307">
        <v>42800</v>
      </c>
      <c r="F22" s="308"/>
      <c r="G22" s="122">
        <v>359601</v>
      </c>
      <c r="H22" s="122">
        <v>392088</v>
      </c>
      <c r="I22" s="122">
        <v>392088</v>
      </c>
      <c r="J22" s="122">
        <v>0</v>
      </c>
      <c r="K22" s="122">
        <f t="shared" si="0"/>
        <v>392088</v>
      </c>
      <c r="L22" s="309"/>
    </row>
    <row r="23" spans="1:12" ht="13.5" customHeight="1">
      <c r="A23" s="33"/>
      <c r="B23" s="313"/>
      <c r="C23" s="121" t="s">
        <v>428</v>
      </c>
      <c r="D23" s="325"/>
      <c r="E23" s="326"/>
      <c r="F23" s="327"/>
      <c r="G23" s="310">
        <v>53175</v>
      </c>
      <c r="H23" s="310">
        <v>61382</v>
      </c>
      <c r="I23" s="310">
        <v>61382</v>
      </c>
      <c r="J23" s="310">
        <v>0</v>
      </c>
      <c r="K23" s="311">
        <f t="shared" si="0"/>
        <v>61382</v>
      </c>
      <c r="L23" s="309"/>
    </row>
    <row r="24" spans="1:69" s="305" customFormat="1" ht="13.5" customHeight="1">
      <c r="A24" s="295" t="s">
        <v>183</v>
      </c>
      <c r="B24" s="328" t="s">
        <v>455</v>
      </c>
      <c r="C24" s="329"/>
      <c r="D24" s="330" t="e">
        <f>SUM(D25:D32)-D26</f>
        <v>#REF!</v>
      </c>
      <c r="E24" s="330" t="e">
        <f>SUM(E25:E32)-E26</f>
        <v>#REF!</v>
      </c>
      <c r="F24" s="331"/>
      <c r="G24" s="318">
        <f>SUM(G31:G32,G26,G25)</f>
        <v>11996</v>
      </c>
      <c r="H24" s="318">
        <f>SUM(H31:H32,H26,H25)</f>
        <v>11996</v>
      </c>
      <c r="I24" s="318">
        <f>SUM(I31:I32,I26,I25)</f>
        <v>11996</v>
      </c>
      <c r="J24" s="319">
        <f>SUM(J31:J32,J26,J25)</f>
        <v>137</v>
      </c>
      <c r="K24" s="311">
        <f t="shared" si="0"/>
        <v>12133</v>
      </c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</row>
    <row r="25" spans="1:11" ht="13.5" customHeight="1">
      <c r="A25" s="33"/>
      <c r="B25" s="332"/>
      <c r="C25" s="313" t="s">
        <v>130</v>
      </c>
      <c r="D25" s="333">
        <v>1388</v>
      </c>
      <c r="E25" s="334">
        <v>1419</v>
      </c>
      <c r="F25" s="335"/>
      <c r="G25" s="122">
        <v>5112</v>
      </c>
      <c r="H25" s="122">
        <v>5112</v>
      </c>
      <c r="I25" s="122">
        <v>5112</v>
      </c>
      <c r="J25" s="122">
        <v>104</v>
      </c>
      <c r="K25" s="122">
        <f t="shared" si="0"/>
        <v>5216</v>
      </c>
    </row>
    <row r="26" spans="1:11" ht="13.5" customHeight="1">
      <c r="A26" s="33"/>
      <c r="B26" s="332"/>
      <c r="C26" s="313" t="s">
        <v>131</v>
      </c>
      <c r="D26" s="333" t="e">
        <f>SUM(#REF!)</f>
        <v>#REF!</v>
      </c>
      <c r="E26" s="333" t="e">
        <f>SUM(#REF!)</f>
        <v>#REF!</v>
      </c>
      <c r="F26" s="336"/>
      <c r="G26" s="337">
        <f>SUM(G27:G30)</f>
        <v>1522</v>
      </c>
      <c r="H26" s="337">
        <f>SUM(H27:H30)</f>
        <v>1522</v>
      </c>
      <c r="I26" s="337">
        <f>SUM(I27:I30)</f>
        <v>1522</v>
      </c>
      <c r="J26" s="337">
        <f>SUM(J27:J30)</f>
        <v>33</v>
      </c>
      <c r="K26" s="122">
        <f t="shared" si="0"/>
        <v>1555</v>
      </c>
    </row>
    <row r="27" spans="1:11" ht="13.5" customHeight="1">
      <c r="A27" s="33"/>
      <c r="B27" s="332"/>
      <c r="C27" s="313"/>
      <c r="D27" s="333"/>
      <c r="E27" s="333"/>
      <c r="F27" s="338" t="s">
        <v>308</v>
      </c>
      <c r="G27" s="337">
        <v>1318</v>
      </c>
      <c r="H27" s="337">
        <v>1318</v>
      </c>
      <c r="I27" s="337">
        <v>1318</v>
      </c>
      <c r="J27" s="337">
        <v>30</v>
      </c>
      <c r="K27" s="122">
        <f t="shared" si="0"/>
        <v>1348</v>
      </c>
    </row>
    <row r="28" spans="1:11" ht="13.5" customHeight="1">
      <c r="A28" s="33"/>
      <c r="B28" s="332"/>
      <c r="C28" s="313"/>
      <c r="D28" s="333"/>
      <c r="E28" s="333"/>
      <c r="F28" s="338" t="s">
        <v>67</v>
      </c>
      <c r="G28" s="337">
        <v>114</v>
      </c>
      <c r="H28" s="337">
        <v>114</v>
      </c>
      <c r="I28" s="337">
        <v>114</v>
      </c>
      <c r="J28" s="337">
        <v>3</v>
      </c>
      <c r="K28" s="122">
        <f t="shared" si="0"/>
        <v>117</v>
      </c>
    </row>
    <row r="29" spans="1:11" ht="13.5" customHeight="1">
      <c r="A29" s="33"/>
      <c r="B29" s="332"/>
      <c r="C29" s="313"/>
      <c r="D29" s="333"/>
      <c r="E29" s="333"/>
      <c r="F29" s="338" t="s">
        <v>68</v>
      </c>
      <c r="G29" s="337">
        <v>70</v>
      </c>
      <c r="H29" s="337">
        <v>70</v>
      </c>
      <c r="I29" s="337">
        <v>70</v>
      </c>
      <c r="J29" s="337">
        <v>0</v>
      </c>
      <c r="K29" s="122">
        <f t="shared" si="0"/>
        <v>70</v>
      </c>
    </row>
    <row r="30" spans="1:11" ht="13.5" customHeight="1">
      <c r="A30" s="33"/>
      <c r="B30" s="332"/>
      <c r="C30" s="313"/>
      <c r="D30" s="333"/>
      <c r="E30" s="333"/>
      <c r="F30" s="338" t="s">
        <v>307</v>
      </c>
      <c r="G30" s="337">
        <v>20</v>
      </c>
      <c r="H30" s="337">
        <v>20</v>
      </c>
      <c r="I30" s="337">
        <v>20</v>
      </c>
      <c r="J30" s="337">
        <v>0</v>
      </c>
      <c r="K30" s="122">
        <f t="shared" si="0"/>
        <v>20</v>
      </c>
    </row>
    <row r="31" spans="1:11" ht="13.5" customHeight="1">
      <c r="A31" s="33"/>
      <c r="B31" s="332"/>
      <c r="C31" s="313" t="s">
        <v>132</v>
      </c>
      <c r="D31" s="333">
        <v>2125</v>
      </c>
      <c r="E31" s="334">
        <v>1738</v>
      </c>
      <c r="F31" s="335"/>
      <c r="G31" s="122">
        <v>5362</v>
      </c>
      <c r="H31" s="122">
        <v>5362</v>
      </c>
      <c r="I31" s="122">
        <v>5362</v>
      </c>
      <c r="J31" s="122">
        <v>0</v>
      </c>
      <c r="K31" s="122">
        <f t="shared" si="0"/>
        <v>5362</v>
      </c>
    </row>
    <row r="32" spans="1:11" ht="13.5" customHeight="1">
      <c r="A32" s="33"/>
      <c r="B32" s="339"/>
      <c r="C32" s="121" t="s">
        <v>242</v>
      </c>
      <c r="D32" s="340">
        <v>450</v>
      </c>
      <c r="E32" s="341">
        <v>431</v>
      </c>
      <c r="F32" s="342"/>
      <c r="G32" s="122">
        <v>0</v>
      </c>
      <c r="H32" s="122">
        <v>0</v>
      </c>
      <c r="I32" s="122">
        <v>0</v>
      </c>
      <c r="J32" s="122">
        <v>0</v>
      </c>
      <c r="K32" s="122">
        <f t="shared" si="0"/>
        <v>0</v>
      </c>
    </row>
    <row r="33" spans="1:69" s="305" customFormat="1" ht="13.5" customHeight="1">
      <c r="A33" s="295" t="s">
        <v>184</v>
      </c>
      <c r="B33" s="296" t="s">
        <v>217</v>
      </c>
      <c r="C33" s="297"/>
      <c r="D33" s="298">
        <f>SUM(D36:D36)</f>
        <v>10228</v>
      </c>
      <c r="E33" s="298">
        <f>SUM(E36:E36)</f>
        <v>4176</v>
      </c>
      <c r="F33" s="299"/>
      <c r="G33" s="300">
        <f>SUM(G34:G37)</f>
        <v>11863</v>
      </c>
      <c r="H33" s="300">
        <f>SUM(H34:H37)</f>
        <v>46279</v>
      </c>
      <c r="I33" s="300">
        <f>SUM(I34:I37)</f>
        <v>46279</v>
      </c>
      <c r="J33" s="301">
        <f>SUM(J34:J37)</f>
        <v>16000</v>
      </c>
      <c r="K33" s="311">
        <f t="shared" si="0"/>
        <v>62279</v>
      </c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</row>
    <row r="34" spans="1:69" s="305" customFormat="1" ht="13.5" customHeight="1">
      <c r="A34" s="295"/>
      <c r="B34" s="121"/>
      <c r="C34" s="121" t="s">
        <v>132</v>
      </c>
      <c r="D34" s="323"/>
      <c r="E34" s="323"/>
      <c r="F34" s="324"/>
      <c r="G34" s="122">
        <v>8669</v>
      </c>
      <c r="H34" s="122">
        <v>12818</v>
      </c>
      <c r="I34" s="122">
        <v>12818</v>
      </c>
      <c r="J34" s="122">
        <v>0</v>
      </c>
      <c r="K34" s="122">
        <f t="shared" si="0"/>
        <v>12818</v>
      </c>
      <c r="L34" s="312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</row>
    <row r="35" spans="1:69" s="305" customFormat="1" ht="13.5" customHeight="1">
      <c r="A35" s="295"/>
      <c r="B35" s="313"/>
      <c r="C35" s="121" t="s">
        <v>428</v>
      </c>
      <c r="D35" s="343"/>
      <c r="E35" s="343"/>
      <c r="F35" s="344"/>
      <c r="G35" s="122">
        <v>3194</v>
      </c>
      <c r="H35" s="122">
        <v>3624</v>
      </c>
      <c r="I35" s="122">
        <v>3624</v>
      </c>
      <c r="J35" s="122">
        <v>0</v>
      </c>
      <c r="K35" s="122">
        <f t="shared" si="0"/>
        <v>3624</v>
      </c>
      <c r="L35" s="312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</row>
    <row r="36" spans="1:69" s="346" customFormat="1" ht="13.5" customHeight="1">
      <c r="A36" s="345"/>
      <c r="B36" s="313"/>
      <c r="C36" s="313" t="s">
        <v>429</v>
      </c>
      <c r="D36" s="325">
        <v>10228</v>
      </c>
      <c r="E36" s="326">
        <v>4176</v>
      </c>
      <c r="F36" s="327"/>
      <c r="G36" s="122">
        <v>0</v>
      </c>
      <c r="H36" s="122">
        <v>0</v>
      </c>
      <c r="I36" s="122">
        <v>0</v>
      </c>
      <c r="J36" s="122">
        <v>0</v>
      </c>
      <c r="K36" s="122">
        <f t="shared" si="0"/>
        <v>0</v>
      </c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</row>
    <row r="37" spans="1:69" s="346" customFormat="1" ht="13.5" customHeight="1">
      <c r="A37" s="345"/>
      <c r="B37" s="347"/>
      <c r="C37" s="348" t="s">
        <v>174</v>
      </c>
      <c r="D37" s="340"/>
      <c r="E37" s="341"/>
      <c r="F37" s="342"/>
      <c r="G37" s="122">
        <v>0</v>
      </c>
      <c r="H37" s="122">
        <v>29837</v>
      </c>
      <c r="I37" s="122">
        <v>29837</v>
      </c>
      <c r="J37" s="122">
        <v>16000</v>
      </c>
      <c r="K37" s="122">
        <f t="shared" si="0"/>
        <v>45837</v>
      </c>
      <c r="L37" s="266"/>
      <c r="M37" s="309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</row>
    <row r="38" spans="1:69" s="305" customFormat="1" ht="13.5" customHeight="1">
      <c r="A38" s="295" t="s">
        <v>185</v>
      </c>
      <c r="B38" s="296" t="s">
        <v>259</v>
      </c>
      <c r="C38" s="297"/>
      <c r="D38" s="349">
        <f>SUM(D39:D39)</f>
        <v>25000</v>
      </c>
      <c r="E38" s="349">
        <f>SUM(E39:E39)</f>
        <v>30519</v>
      </c>
      <c r="F38" s="350"/>
      <c r="G38" s="318">
        <f>SUM(G39:G42)</f>
        <v>45000</v>
      </c>
      <c r="H38" s="318">
        <f>SUM(H39:H42)</f>
        <v>149696</v>
      </c>
      <c r="I38" s="318">
        <f>SUM(I39:I42)</f>
        <v>177696</v>
      </c>
      <c r="J38" s="319">
        <f>SUM(J39:J42)</f>
        <v>25029</v>
      </c>
      <c r="K38" s="311">
        <f t="shared" si="0"/>
        <v>202725</v>
      </c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</row>
    <row r="39" spans="1:14" ht="13.5" customHeight="1">
      <c r="A39" s="33"/>
      <c r="B39" s="121"/>
      <c r="C39" s="121" t="s">
        <v>132</v>
      </c>
      <c r="D39" s="320">
        <v>25000</v>
      </c>
      <c r="E39" s="351">
        <v>30519</v>
      </c>
      <c r="F39" s="352"/>
      <c r="G39" s="122">
        <v>25000</v>
      </c>
      <c r="H39" s="122">
        <v>29752</v>
      </c>
      <c r="I39" s="122">
        <v>29752</v>
      </c>
      <c r="J39" s="122">
        <v>0</v>
      </c>
      <c r="K39" s="122">
        <f t="shared" si="0"/>
        <v>29752</v>
      </c>
      <c r="N39" s="309"/>
    </row>
    <row r="40" spans="1:12" ht="13.5" customHeight="1">
      <c r="A40" s="33"/>
      <c r="B40" s="121"/>
      <c r="C40" s="121" t="s">
        <v>456</v>
      </c>
      <c r="D40" s="320"/>
      <c r="E40" s="351"/>
      <c r="F40" s="352"/>
      <c r="G40" s="122">
        <v>0</v>
      </c>
      <c r="H40" s="122">
        <v>0</v>
      </c>
      <c r="I40" s="122">
        <v>0</v>
      </c>
      <c r="J40" s="122">
        <v>0</v>
      </c>
      <c r="K40" s="122">
        <f t="shared" si="0"/>
        <v>0</v>
      </c>
      <c r="L40" s="309"/>
    </row>
    <row r="41" spans="1:11" ht="13.5" customHeight="1">
      <c r="A41" s="33"/>
      <c r="B41" s="121"/>
      <c r="C41" s="313" t="s">
        <v>429</v>
      </c>
      <c r="D41" s="320"/>
      <c r="E41" s="351"/>
      <c r="F41" s="352"/>
      <c r="G41" s="122">
        <v>0</v>
      </c>
      <c r="H41" s="122">
        <v>0</v>
      </c>
      <c r="I41" s="122">
        <v>0</v>
      </c>
      <c r="J41" s="122">
        <v>0</v>
      </c>
      <c r="K41" s="122">
        <f t="shared" si="0"/>
        <v>0</v>
      </c>
    </row>
    <row r="42" spans="1:11" ht="13.5" customHeight="1">
      <c r="A42" s="33"/>
      <c r="B42" s="121"/>
      <c r="C42" s="121" t="s">
        <v>174</v>
      </c>
      <c r="D42" s="320"/>
      <c r="E42" s="351"/>
      <c r="F42" s="352"/>
      <c r="G42" s="122">
        <v>20000</v>
      </c>
      <c r="H42" s="122">
        <v>119944</v>
      </c>
      <c r="I42" s="122">
        <v>147944</v>
      </c>
      <c r="J42" s="122">
        <v>25029</v>
      </c>
      <c r="K42" s="122">
        <f t="shared" si="0"/>
        <v>172973</v>
      </c>
    </row>
    <row r="43" spans="1:69" s="360" customFormat="1" ht="13.5" customHeight="1">
      <c r="A43" s="295" t="s">
        <v>186</v>
      </c>
      <c r="B43" s="353" t="s">
        <v>163</v>
      </c>
      <c r="C43" s="354"/>
      <c r="D43" s="355"/>
      <c r="E43" s="356"/>
      <c r="F43" s="357"/>
      <c r="G43" s="358">
        <f>SUM(G44:G51)</f>
        <v>959288</v>
      </c>
      <c r="H43" s="358">
        <f>SUM(H44:H51)</f>
        <v>1666003</v>
      </c>
      <c r="I43" s="358">
        <f>SUM(I44:I51)</f>
        <v>1820398</v>
      </c>
      <c r="J43" s="359">
        <f>SUM(J44:J51)</f>
        <v>97784</v>
      </c>
      <c r="K43" s="311">
        <f t="shared" si="0"/>
        <v>1918182</v>
      </c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</row>
    <row r="44" spans="1:69" s="289" customFormat="1" ht="13.5" customHeight="1">
      <c r="A44" s="33"/>
      <c r="B44" s="339"/>
      <c r="C44" s="313" t="s">
        <v>132</v>
      </c>
      <c r="D44" s="361"/>
      <c r="E44" s="362"/>
      <c r="F44" s="363"/>
      <c r="G44" s="122">
        <v>815990</v>
      </c>
      <c r="H44" s="122">
        <v>846755</v>
      </c>
      <c r="I44" s="122">
        <v>986177</v>
      </c>
      <c r="J44" s="122">
        <v>23691</v>
      </c>
      <c r="K44" s="122">
        <f t="shared" si="0"/>
        <v>1009868</v>
      </c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</row>
    <row r="45" spans="1:69" s="289" customFormat="1" ht="13.5" customHeight="1">
      <c r="A45" s="33"/>
      <c r="B45" s="339"/>
      <c r="C45" s="121" t="s">
        <v>428</v>
      </c>
      <c r="D45" s="361"/>
      <c r="E45" s="362"/>
      <c r="F45" s="363"/>
      <c r="G45" s="122">
        <v>13544</v>
      </c>
      <c r="H45" s="122">
        <v>58044</v>
      </c>
      <c r="I45" s="122">
        <v>59407</v>
      </c>
      <c r="J45" s="122">
        <v>0</v>
      </c>
      <c r="K45" s="122">
        <f t="shared" si="0"/>
        <v>59407</v>
      </c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</row>
    <row r="46" spans="1:69" s="289" customFormat="1" ht="13.5" customHeight="1">
      <c r="A46" s="33"/>
      <c r="B46" s="339"/>
      <c r="C46" s="121" t="s">
        <v>343</v>
      </c>
      <c r="D46" s="361"/>
      <c r="E46" s="362"/>
      <c r="F46" s="363"/>
      <c r="G46" s="122">
        <v>64372</v>
      </c>
      <c r="H46" s="122">
        <v>176576</v>
      </c>
      <c r="I46" s="122">
        <v>192186</v>
      </c>
      <c r="J46" s="122">
        <v>1851</v>
      </c>
      <c r="K46" s="122">
        <f t="shared" si="0"/>
        <v>194037</v>
      </c>
      <c r="L46" s="266"/>
      <c r="M46" s="309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</row>
    <row r="47" spans="1:69" s="289" customFormat="1" ht="13.5" customHeight="1">
      <c r="A47" s="33"/>
      <c r="B47" s="339"/>
      <c r="C47" s="364" t="s">
        <v>174</v>
      </c>
      <c r="D47" s="361"/>
      <c r="E47" s="362"/>
      <c r="F47" s="363"/>
      <c r="G47" s="122">
        <v>40142</v>
      </c>
      <c r="H47" s="122">
        <v>40142</v>
      </c>
      <c r="I47" s="122">
        <v>40142</v>
      </c>
      <c r="J47" s="122">
        <v>0</v>
      </c>
      <c r="K47" s="122">
        <f t="shared" si="0"/>
        <v>40142</v>
      </c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</row>
    <row r="48" spans="1:69" s="289" customFormat="1" ht="13.5" customHeight="1">
      <c r="A48" s="33"/>
      <c r="B48" s="339"/>
      <c r="C48" s="121" t="s">
        <v>237</v>
      </c>
      <c r="D48" s="361"/>
      <c r="E48" s="362"/>
      <c r="F48" s="363"/>
      <c r="G48" s="122">
        <v>6460</v>
      </c>
      <c r="H48" s="122">
        <v>6460</v>
      </c>
      <c r="I48" s="122">
        <v>6460</v>
      </c>
      <c r="J48" s="122">
        <v>0</v>
      </c>
      <c r="K48" s="122">
        <f t="shared" si="0"/>
        <v>6460</v>
      </c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</row>
    <row r="49" spans="1:69" s="289" customFormat="1" ht="13.5" customHeight="1">
      <c r="A49" s="33"/>
      <c r="B49" s="339"/>
      <c r="C49" s="121" t="s">
        <v>201</v>
      </c>
      <c r="D49" s="361"/>
      <c r="E49" s="362"/>
      <c r="F49" s="363"/>
      <c r="G49" s="122">
        <v>18780</v>
      </c>
      <c r="H49" s="122">
        <v>534805</v>
      </c>
      <c r="I49" s="122">
        <v>532805</v>
      </c>
      <c r="J49" s="122">
        <v>72242</v>
      </c>
      <c r="K49" s="122">
        <f t="shared" si="0"/>
        <v>605047</v>
      </c>
      <c r="L49" s="266"/>
      <c r="M49" s="266"/>
      <c r="N49" s="309"/>
      <c r="O49" s="266"/>
      <c r="P49" s="266"/>
      <c r="Q49" s="266"/>
      <c r="R49" s="309"/>
      <c r="S49" s="309"/>
      <c r="T49" s="266"/>
      <c r="U49" s="266"/>
      <c r="V49" s="266"/>
      <c r="W49" s="266"/>
      <c r="X49" s="266"/>
      <c r="Y49" s="266"/>
      <c r="Z49" s="266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69" s="289" customFormat="1" ht="14.25" customHeight="1">
      <c r="A50" s="33"/>
      <c r="B50" s="339"/>
      <c r="C50" s="121" t="s">
        <v>202</v>
      </c>
      <c r="D50" s="361"/>
      <c r="E50" s="362"/>
      <c r="F50" s="363"/>
      <c r="G50" s="122">
        <v>0</v>
      </c>
      <c r="H50" s="122">
        <v>0</v>
      </c>
      <c r="I50" s="122">
        <v>0</v>
      </c>
      <c r="J50" s="122">
        <v>0</v>
      </c>
      <c r="K50" s="122">
        <f t="shared" si="0"/>
        <v>0</v>
      </c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/>
    </row>
    <row r="51" spans="1:69" s="289" customFormat="1" ht="14.25" customHeight="1">
      <c r="A51" s="33"/>
      <c r="B51" s="121"/>
      <c r="C51" s="121" t="s">
        <v>465</v>
      </c>
      <c r="D51" s="361"/>
      <c r="E51" s="362"/>
      <c r="F51" s="362"/>
      <c r="G51" s="310">
        <v>0</v>
      </c>
      <c r="H51" s="310">
        <v>3221</v>
      </c>
      <c r="I51" s="310">
        <v>3221</v>
      </c>
      <c r="J51" s="310">
        <v>0</v>
      </c>
      <c r="K51" s="122">
        <f t="shared" si="0"/>
        <v>3221</v>
      </c>
      <c r="L51" s="367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6"/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/>
      <c r="BD51" s="366"/>
      <c r="BE51" s="366"/>
      <c r="BF51" s="366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/>
    </row>
    <row r="52" spans="1:69" s="305" customFormat="1" ht="13.5" customHeight="1">
      <c r="A52" s="295" t="s">
        <v>187</v>
      </c>
      <c r="B52" s="314" t="s">
        <v>364</v>
      </c>
      <c r="C52" s="315"/>
      <c r="D52" s="368" t="e">
        <f>SUM(D54:D65)-D60-#REF!-#REF!-#REF!</f>
        <v>#REF!</v>
      </c>
      <c r="E52" s="368" t="e">
        <f>SUM(E54:E65)-E60-#REF!-#REF!-#REF!</f>
        <v>#REF!</v>
      </c>
      <c r="F52" s="369"/>
      <c r="G52" s="370">
        <f>SUM(G53,G54:G60,G63,G66,G67:G68)</f>
        <v>325400</v>
      </c>
      <c r="H52" s="370">
        <f>SUM(H53,H54:H60,H63,H66,H67:H68)</f>
        <v>325400</v>
      </c>
      <c r="I52" s="370">
        <f>SUM(I53,I54:I60,I63,I66,I67:I68)</f>
        <v>325400</v>
      </c>
      <c r="J52" s="371">
        <f>SUM(J53,J54:J60,J63,J66,J67:J68)</f>
        <v>0</v>
      </c>
      <c r="K52" s="311">
        <f t="shared" si="0"/>
        <v>325400</v>
      </c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</row>
    <row r="53" spans="1:69" ht="13.5" customHeight="1">
      <c r="A53" s="33"/>
      <c r="B53" s="372"/>
      <c r="C53" s="121" t="s">
        <v>132</v>
      </c>
      <c r="D53" s="373"/>
      <c r="E53" s="373"/>
      <c r="F53" s="374"/>
      <c r="G53" s="375">
        <v>1000</v>
      </c>
      <c r="H53" s="375">
        <v>1000</v>
      </c>
      <c r="I53" s="375">
        <v>1000</v>
      </c>
      <c r="J53" s="375">
        <v>0</v>
      </c>
      <c r="K53" s="122">
        <f t="shared" si="0"/>
        <v>1000</v>
      </c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</row>
    <row r="54" spans="1:11" ht="13.5" customHeight="1">
      <c r="A54" s="33"/>
      <c r="B54" s="121"/>
      <c r="C54" s="843" t="s">
        <v>573</v>
      </c>
      <c r="D54" s="843"/>
      <c r="E54" s="843"/>
      <c r="F54" s="869"/>
      <c r="G54" s="122">
        <v>22000</v>
      </c>
      <c r="H54" s="122">
        <v>22000</v>
      </c>
      <c r="I54" s="122">
        <v>22000</v>
      </c>
      <c r="J54" s="122">
        <v>0</v>
      </c>
      <c r="K54" s="122">
        <f t="shared" si="0"/>
        <v>22000</v>
      </c>
    </row>
    <row r="55" spans="1:11" ht="13.5" customHeight="1">
      <c r="A55" s="33"/>
      <c r="B55" s="121"/>
      <c r="C55" s="843" t="s">
        <v>574</v>
      </c>
      <c r="D55" s="843"/>
      <c r="E55" s="843"/>
      <c r="F55" s="869"/>
      <c r="G55" s="122">
        <v>0</v>
      </c>
      <c r="H55" s="122">
        <v>0</v>
      </c>
      <c r="I55" s="122">
        <v>5000</v>
      </c>
      <c r="J55" s="122">
        <v>0</v>
      </c>
      <c r="K55" s="122">
        <f t="shared" si="0"/>
        <v>5000</v>
      </c>
    </row>
    <row r="56" spans="1:11" ht="13.5" customHeight="1">
      <c r="A56" s="33"/>
      <c r="B56" s="121"/>
      <c r="C56" s="843" t="s">
        <v>575</v>
      </c>
      <c r="D56" s="843"/>
      <c r="E56" s="843"/>
      <c r="F56" s="869"/>
      <c r="G56" s="122">
        <v>0</v>
      </c>
      <c r="H56" s="122">
        <v>0</v>
      </c>
      <c r="I56" s="122">
        <v>29000</v>
      </c>
      <c r="J56" s="122">
        <v>0</v>
      </c>
      <c r="K56" s="122">
        <f t="shared" si="0"/>
        <v>29000</v>
      </c>
    </row>
    <row r="57" spans="1:11" ht="13.5" customHeight="1">
      <c r="A57" s="33"/>
      <c r="B57" s="121"/>
      <c r="C57" s="843" t="s">
        <v>576</v>
      </c>
      <c r="D57" s="843"/>
      <c r="E57" s="843"/>
      <c r="F57" s="869"/>
      <c r="G57" s="122">
        <v>0</v>
      </c>
      <c r="H57" s="122">
        <v>0</v>
      </c>
      <c r="I57" s="122">
        <v>1000</v>
      </c>
      <c r="J57" s="122">
        <v>0</v>
      </c>
      <c r="K57" s="122">
        <f t="shared" si="0"/>
        <v>1000</v>
      </c>
    </row>
    <row r="58" spans="1:11" ht="14.25" customHeight="1">
      <c r="A58" s="33"/>
      <c r="B58" s="121"/>
      <c r="C58" s="843" t="s">
        <v>160</v>
      </c>
      <c r="D58" s="843"/>
      <c r="E58" s="843"/>
      <c r="F58" s="869"/>
      <c r="G58" s="122">
        <v>78000</v>
      </c>
      <c r="H58" s="122">
        <v>78000</v>
      </c>
      <c r="I58" s="122">
        <v>43000</v>
      </c>
      <c r="J58" s="122">
        <v>0</v>
      </c>
      <c r="K58" s="122">
        <f t="shared" si="0"/>
        <v>43000</v>
      </c>
    </row>
    <row r="59" spans="1:11" ht="13.5" customHeight="1">
      <c r="A59" s="33"/>
      <c r="B59" s="121"/>
      <c r="C59" s="121" t="s">
        <v>239</v>
      </c>
      <c r="D59" s="377"/>
      <c r="E59" s="378"/>
      <c r="F59" s="374"/>
      <c r="G59" s="122">
        <v>6000</v>
      </c>
      <c r="H59" s="122">
        <v>6000</v>
      </c>
      <c r="I59" s="122">
        <v>6000</v>
      </c>
      <c r="J59" s="122">
        <v>0</v>
      </c>
      <c r="K59" s="122">
        <f t="shared" si="0"/>
        <v>6000</v>
      </c>
    </row>
    <row r="60" spans="1:11" ht="13.5" customHeight="1">
      <c r="A60" s="33"/>
      <c r="B60" s="313"/>
      <c r="C60" s="313" t="s">
        <v>175</v>
      </c>
      <c r="D60" s="379">
        <f>SUM(D61:D62)</f>
        <v>19320</v>
      </c>
      <c r="E60" s="380">
        <f>SUM(E61:E62)</f>
        <v>28133</v>
      </c>
      <c r="F60" s="381"/>
      <c r="G60" s="382">
        <f>SUM(G61:G62)</f>
        <v>48400</v>
      </c>
      <c r="H60" s="382">
        <f>SUM(H61:H62)</f>
        <v>48400</v>
      </c>
      <c r="I60" s="382">
        <f>SUM(I61:I62)</f>
        <v>48400</v>
      </c>
      <c r="J60" s="382">
        <f>SUM(J61:J62)</f>
        <v>0</v>
      </c>
      <c r="K60" s="122">
        <f t="shared" si="0"/>
        <v>48400</v>
      </c>
    </row>
    <row r="61" spans="1:11" ht="13.5" customHeight="1">
      <c r="A61" s="29"/>
      <c r="B61" s="339"/>
      <c r="C61" s="121"/>
      <c r="D61" s="383">
        <v>4320</v>
      </c>
      <c r="E61" s="384">
        <v>6476</v>
      </c>
      <c r="F61" s="121" t="s">
        <v>136</v>
      </c>
      <c r="G61" s="122">
        <v>9400</v>
      </c>
      <c r="H61" s="122">
        <v>9400</v>
      </c>
      <c r="I61" s="122">
        <v>9400</v>
      </c>
      <c r="J61" s="122">
        <v>0</v>
      </c>
      <c r="K61" s="122">
        <f t="shared" si="0"/>
        <v>9400</v>
      </c>
    </row>
    <row r="62" spans="1:11" ht="13.5" customHeight="1">
      <c r="A62" s="29"/>
      <c r="B62" s="339"/>
      <c r="C62" s="121"/>
      <c r="D62" s="383">
        <v>15000</v>
      </c>
      <c r="E62" s="384">
        <v>21657</v>
      </c>
      <c r="F62" s="121" t="s">
        <v>240</v>
      </c>
      <c r="G62" s="122">
        <v>39000</v>
      </c>
      <c r="H62" s="122">
        <v>39000</v>
      </c>
      <c r="I62" s="122">
        <v>39000</v>
      </c>
      <c r="J62" s="122">
        <v>0</v>
      </c>
      <c r="K62" s="122">
        <f t="shared" si="0"/>
        <v>39000</v>
      </c>
    </row>
    <row r="63" spans="1:11" ht="13.5" customHeight="1">
      <c r="A63" s="29"/>
      <c r="B63" s="339"/>
      <c r="C63" s="313" t="s">
        <v>56</v>
      </c>
      <c r="D63" s="383"/>
      <c r="E63" s="384"/>
      <c r="F63" s="121"/>
      <c r="G63" s="310">
        <f>SUM(G64:G65)</f>
        <v>70000</v>
      </c>
      <c r="H63" s="310">
        <f>SUM(H64:H65)</f>
        <v>70000</v>
      </c>
      <c r="I63" s="310">
        <f>SUM(I64:I65)</f>
        <v>70000</v>
      </c>
      <c r="J63" s="310">
        <f>SUM(J64:J65)</f>
        <v>0</v>
      </c>
      <c r="K63" s="122">
        <f t="shared" si="0"/>
        <v>70000</v>
      </c>
    </row>
    <row r="64" spans="1:11" ht="13.5" customHeight="1">
      <c r="A64" s="33"/>
      <c r="B64" s="121"/>
      <c r="C64" s="313"/>
      <c r="D64" s="383"/>
      <c r="E64" s="384"/>
      <c r="F64" s="121" t="s">
        <v>136</v>
      </c>
      <c r="G64" s="310">
        <v>14000</v>
      </c>
      <c r="H64" s="310">
        <v>14000</v>
      </c>
      <c r="I64" s="310">
        <v>14000</v>
      </c>
      <c r="J64" s="310">
        <v>0</v>
      </c>
      <c r="K64" s="122">
        <f t="shared" si="0"/>
        <v>14000</v>
      </c>
    </row>
    <row r="65" spans="1:11" ht="13.5" customHeight="1">
      <c r="A65" s="33"/>
      <c r="B65" s="121"/>
      <c r="C65" s="313"/>
      <c r="D65" s="383"/>
      <c r="E65" s="384"/>
      <c r="F65" s="121" t="s">
        <v>240</v>
      </c>
      <c r="G65" s="310">
        <v>56000</v>
      </c>
      <c r="H65" s="310">
        <v>56000</v>
      </c>
      <c r="I65" s="310">
        <v>56000</v>
      </c>
      <c r="J65" s="310">
        <v>0</v>
      </c>
      <c r="K65" s="122">
        <f t="shared" si="0"/>
        <v>56000</v>
      </c>
    </row>
    <row r="66" spans="1:11" ht="13.5" customHeight="1">
      <c r="A66" s="33"/>
      <c r="B66" s="364"/>
      <c r="C66" s="121" t="s">
        <v>176</v>
      </c>
      <c r="D66" s="383"/>
      <c r="E66" s="384"/>
      <c r="F66" s="121"/>
      <c r="G66" s="310">
        <v>64000</v>
      </c>
      <c r="H66" s="310">
        <v>64000</v>
      </c>
      <c r="I66" s="310">
        <v>64000</v>
      </c>
      <c r="J66" s="310">
        <v>0</v>
      </c>
      <c r="K66" s="122">
        <f t="shared" si="0"/>
        <v>64000</v>
      </c>
    </row>
    <row r="67" spans="1:11" ht="13.5" customHeight="1">
      <c r="A67" s="33"/>
      <c r="B67" s="364"/>
      <c r="C67" s="121" t="s">
        <v>55</v>
      </c>
      <c r="D67" s="377"/>
      <c r="E67" s="378"/>
      <c r="F67" s="374"/>
      <c r="G67" s="122">
        <v>30000</v>
      </c>
      <c r="H67" s="122">
        <v>30000</v>
      </c>
      <c r="I67" s="122">
        <v>30000</v>
      </c>
      <c r="J67" s="122">
        <v>0</v>
      </c>
      <c r="K67" s="122">
        <f t="shared" si="0"/>
        <v>30000</v>
      </c>
    </row>
    <row r="68" spans="1:11" ht="13.5" customHeight="1">
      <c r="A68" s="33"/>
      <c r="B68" s="364"/>
      <c r="C68" s="121" t="s">
        <v>301</v>
      </c>
      <c r="D68" s="383"/>
      <c r="E68" s="384"/>
      <c r="F68" s="384"/>
      <c r="G68" s="122">
        <v>6000</v>
      </c>
      <c r="H68" s="122">
        <v>6000</v>
      </c>
      <c r="I68" s="122">
        <v>6000</v>
      </c>
      <c r="J68" s="122">
        <v>0</v>
      </c>
      <c r="K68" s="122">
        <f t="shared" si="0"/>
        <v>6000</v>
      </c>
    </row>
    <row r="69" spans="1:69" s="305" customFormat="1" ht="13.5" customHeight="1">
      <c r="A69" s="295" t="s">
        <v>188</v>
      </c>
      <c r="B69" s="314" t="s">
        <v>365</v>
      </c>
      <c r="C69" s="315"/>
      <c r="D69" s="368" t="e">
        <f>SUM(D70:D79)-D74-#REF!-#REF!-#REF!</f>
        <v>#REF!</v>
      </c>
      <c r="E69" s="368" t="e">
        <f>SUM(E70:E79)-E74-#REF!-#REF!-#REF!</f>
        <v>#REF!</v>
      </c>
      <c r="F69" s="369"/>
      <c r="G69" s="300">
        <f>SUM(G70:G73)</f>
        <v>57081</v>
      </c>
      <c r="H69" s="300">
        <f>SUM(H70:H73)</f>
        <v>57081</v>
      </c>
      <c r="I69" s="300">
        <f>SUM(I70:I73)</f>
        <v>67277</v>
      </c>
      <c r="J69" s="301">
        <f>SUM(J70:J73)</f>
        <v>0</v>
      </c>
      <c r="K69" s="311">
        <f t="shared" si="0"/>
        <v>67277</v>
      </c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</row>
    <row r="70" spans="1:11" ht="13.5" customHeight="1">
      <c r="A70" s="33"/>
      <c r="B70" s="121"/>
      <c r="C70" s="121" t="s">
        <v>386</v>
      </c>
      <c r="D70" s="377">
        <v>105000</v>
      </c>
      <c r="E70" s="378">
        <v>99479</v>
      </c>
      <c r="F70" s="374"/>
      <c r="G70" s="122">
        <v>2000</v>
      </c>
      <c r="H70" s="122">
        <v>2000</v>
      </c>
      <c r="I70" s="122">
        <v>2000</v>
      </c>
      <c r="J70" s="122">
        <v>0</v>
      </c>
      <c r="K70" s="122">
        <f t="shared" si="0"/>
        <v>2000</v>
      </c>
    </row>
    <row r="71" spans="1:11" ht="13.5" customHeight="1">
      <c r="A71" s="33"/>
      <c r="B71" s="385"/>
      <c r="C71" s="386" t="s">
        <v>344</v>
      </c>
      <c r="D71" s="377"/>
      <c r="E71" s="378"/>
      <c r="F71" s="378"/>
      <c r="G71" s="122">
        <v>35000</v>
      </c>
      <c r="H71" s="122">
        <v>35000</v>
      </c>
      <c r="I71" s="122">
        <v>35000</v>
      </c>
      <c r="J71" s="122">
        <v>0</v>
      </c>
      <c r="K71" s="122">
        <f t="shared" si="0"/>
        <v>35000</v>
      </c>
    </row>
    <row r="72" spans="1:11" ht="13.5" customHeight="1">
      <c r="A72" s="33"/>
      <c r="B72" s="385"/>
      <c r="C72" s="386" t="s">
        <v>275</v>
      </c>
      <c r="D72" s="377"/>
      <c r="E72" s="378"/>
      <c r="F72" s="378"/>
      <c r="G72" s="310">
        <v>1381</v>
      </c>
      <c r="H72" s="310">
        <v>1381</v>
      </c>
      <c r="I72" s="310">
        <v>1381</v>
      </c>
      <c r="J72" s="310">
        <v>0</v>
      </c>
      <c r="K72" s="122">
        <f t="shared" si="0"/>
        <v>1381</v>
      </c>
    </row>
    <row r="73" spans="1:11" ht="13.5" customHeight="1">
      <c r="A73" s="33"/>
      <c r="B73" s="385"/>
      <c r="C73" s="386" t="s">
        <v>276</v>
      </c>
      <c r="D73" s="377"/>
      <c r="E73" s="378"/>
      <c r="F73" s="378"/>
      <c r="G73" s="310">
        <v>18700</v>
      </c>
      <c r="H73" s="310">
        <v>18700</v>
      </c>
      <c r="I73" s="310">
        <v>28896</v>
      </c>
      <c r="J73" s="310">
        <v>0</v>
      </c>
      <c r="K73" s="122">
        <f aca="true" t="shared" si="1" ref="K73:K136">SUM(I73:J73)</f>
        <v>28896</v>
      </c>
    </row>
    <row r="74" spans="1:69" s="305" customFormat="1" ht="13.5" customHeight="1">
      <c r="A74" s="295" t="s">
        <v>189</v>
      </c>
      <c r="B74" s="296" t="s">
        <v>366</v>
      </c>
      <c r="C74" s="387"/>
      <c r="D74" s="388">
        <f>SUM(D75:D79)-D77</f>
        <v>71000</v>
      </c>
      <c r="E74" s="388">
        <f>SUM(E75:E79)-E77</f>
        <v>75245</v>
      </c>
      <c r="F74" s="389"/>
      <c r="G74" s="370">
        <f>SUM(G75:G77,G80:G82)</f>
        <v>149465</v>
      </c>
      <c r="H74" s="370">
        <f>SUM(H75:H77,H80:H82)</f>
        <v>151908</v>
      </c>
      <c r="I74" s="370">
        <f>SUM(I75:I77,I80:I82)</f>
        <v>153105</v>
      </c>
      <c r="J74" s="371">
        <f>SUM(J75:J77,J80:J82)</f>
        <v>826</v>
      </c>
      <c r="K74" s="311">
        <f t="shared" si="1"/>
        <v>153931</v>
      </c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</row>
    <row r="75" spans="1:11" ht="13.5" customHeight="1">
      <c r="A75" s="33"/>
      <c r="B75" s="121"/>
      <c r="C75" s="121" t="s">
        <v>124</v>
      </c>
      <c r="D75" s="377"/>
      <c r="E75" s="378"/>
      <c r="F75" s="374"/>
      <c r="G75" s="122">
        <v>1000</v>
      </c>
      <c r="H75" s="122">
        <v>1000</v>
      </c>
      <c r="I75" s="122">
        <v>1000</v>
      </c>
      <c r="J75" s="122">
        <v>0</v>
      </c>
      <c r="K75" s="122">
        <f t="shared" si="1"/>
        <v>1000</v>
      </c>
    </row>
    <row r="76" spans="1:11" ht="13.5" customHeight="1">
      <c r="A76" s="33"/>
      <c r="B76" s="121"/>
      <c r="C76" s="121" t="s">
        <v>241</v>
      </c>
      <c r="D76" s="377">
        <v>0</v>
      </c>
      <c r="E76" s="378">
        <v>9579</v>
      </c>
      <c r="F76" s="374"/>
      <c r="G76" s="122">
        <v>0</v>
      </c>
      <c r="H76" s="122">
        <v>1502</v>
      </c>
      <c r="I76" s="122">
        <v>2272</v>
      </c>
      <c r="J76" s="122">
        <v>0</v>
      </c>
      <c r="K76" s="122">
        <f t="shared" si="1"/>
        <v>2272</v>
      </c>
    </row>
    <row r="77" spans="1:11" ht="13.5" customHeight="1">
      <c r="A77" s="33"/>
      <c r="B77" s="313"/>
      <c r="C77" s="313" t="s">
        <v>177</v>
      </c>
      <c r="D77" s="379">
        <f>SUM(D78:D79)</f>
        <v>71000</v>
      </c>
      <c r="E77" s="379">
        <f>SUM(E78:E79)</f>
        <v>65666</v>
      </c>
      <c r="F77" s="390"/>
      <c r="G77" s="375">
        <f>SUM(G78:G79)</f>
        <v>114900</v>
      </c>
      <c r="H77" s="375">
        <f>SUM(H78:H79)</f>
        <v>115841</v>
      </c>
      <c r="I77" s="375">
        <f>SUM(I78:I79)</f>
        <v>116268</v>
      </c>
      <c r="J77" s="375">
        <f>SUM(J78:J79)</f>
        <v>826</v>
      </c>
      <c r="K77" s="122">
        <f t="shared" si="1"/>
        <v>117094</v>
      </c>
    </row>
    <row r="78" spans="1:11" ht="13.5" customHeight="1">
      <c r="A78" s="29"/>
      <c r="B78" s="391"/>
      <c r="C78" s="392"/>
      <c r="D78" s="383">
        <v>0</v>
      </c>
      <c r="E78" s="384">
        <v>217</v>
      </c>
      <c r="F78" s="121" t="s">
        <v>132</v>
      </c>
      <c r="G78" s="122">
        <v>0</v>
      </c>
      <c r="H78" s="122">
        <v>0</v>
      </c>
      <c r="I78" s="122">
        <v>0</v>
      </c>
      <c r="J78" s="122">
        <v>0</v>
      </c>
      <c r="K78" s="122">
        <f t="shared" si="1"/>
        <v>0</v>
      </c>
    </row>
    <row r="79" spans="1:11" ht="13.5" customHeight="1">
      <c r="A79" s="29"/>
      <c r="B79" s="391"/>
      <c r="C79" s="392"/>
      <c r="D79" s="383">
        <v>71000</v>
      </c>
      <c r="E79" s="384">
        <v>65449</v>
      </c>
      <c r="F79" s="121" t="s">
        <v>240</v>
      </c>
      <c r="G79" s="122">
        <v>114900</v>
      </c>
      <c r="H79" s="122">
        <v>115841</v>
      </c>
      <c r="I79" s="122">
        <v>116268</v>
      </c>
      <c r="J79" s="122">
        <v>826</v>
      </c>
      <c r="K79" s="122">
        <f t="shared" si="1"/>
        <v>117094</v>
      </c>
    </row>
    <row r="80" spans="1:11" ht="13.5" customHeight="1">
      <c r="A80" s="29"/>
      <c r="B80" s="393"/>
      <c r="C80" s="372" t="s">
        <v>50</v>
      </c>
      <c r="D80" s="383"/>
      <c r="E80" s="383"/>
      <c r="F80" s="383"/>
      <c r="G80" s="122">
        <v>2000</v>
      </c>
      <c r="H80" s="122">
        <v>2000</v>
      </c>
      <c r="I80" s="122">
        <v>2000</v>
      </c>
      <c r="J80" s="122">
        <v>0</v>
      </c>
      <c r="K80" s="122">
        <f t="shared" si="1"/>
        <v>2000</v>
      </c>
    </row>
    <row r="81" spans="1:11" ht="13.5" customHeight="1">
      <c r="A81" s="29"/>
      <c r="B81" s="393"/>
      <c r="C81" s="121" t="s">
        <v>224</v>
      </c>
      <c r="D81" s="383"/>
      <c r="E81" s="383"/>
      <c r="F81" s="383"/>
      <c r="G81" s="122">
        <v>25000</v>
      </c>
      <c r="H81" s="122">
        <v>25000</v>
      </c>
      <c r="I81" s="122">
        <v>25000</v>
      </c>
      <c r="J81" s="122">
        <v>0</v>
      </c>
      <c r="K81" s="122">
        <f t="shared" si="1"/>
        <v>25000</v>
      </c>
    </row>
    <row r="82" spans="1:11" ht="13.5" customHeight="1">
      <c r="A82" s="29"/>
      <c r="B82" s="393"/>
      <c r="C82" s="121" t="s">
        <v>302</v>
      </c>
      <c r="D82" s="383"/>
      <c r="E82" s="384"/>
      <c r="F82" s="384"/>
      <c r="G82" s="122">
        <v>6565</v>
      </c>
      <c r="H82" s="122">
        <v>6565</v>
      </c>
      <c r="I82" s="122">
        <v>6565</v>
      </c>
      <c r="J82" s="122">
        <v>0</v>
      </c>
      <c r="K82" s="122">
        <f t="shared" si="1"/>
        <v>6565</v>
      </c>
    </row>
    <row r="83" spans="1:11" ht="13.5" customHeight="1">
      <c r="A83" s="295" t="s">
        <v>190</v>
      </c>
      <c r="B83" s="296" t="s">
        <v>367</v>
      </c>
      <c r="C83" s="387"/>
      <c r="D83" s="388" t="e">
        <f>SUM(D84:D87)-#REF!</f>
        <v>#REF!</v>
      </c>
      <c r="E83" s="388" t="e">
        <f>SUM(E84:E87)-#REF!</f>
        <v>#REF!</v>
      </c>
      <c r="F83" s="389"/>
      <c r="G83" s="311">
        <f>SUM(G84:G86)</f>
        <v>98396</v>
      </c>
      <c r="H83" s="311">
        <f>SUM(H84:H86)</f>
        <v>98396</v>
      </c>
      <c r="I83" s="311">
        <f>SUM(I84:I86)</f>
        <v>104094</v>
      </c>
      <c r="J83" s="302">
        <f>SUM(J84:J86)</f>
        <v>0</v>
      </c>
      <c r="K83" s="311">
        <f t="shared" si="1"/>
        <v>104094</v>
      </c>
    </row>
    <row r="84" spans="1:11" ht="13.5" customHeight="1">
      <c r="A84" s="29"/>
      <c r="B84" s="393"/>
      <c r="C84" s="121" t="s">
        <v>260</v>
      </c>
      <c r="D84" s="383">
        <v>0</v>
      </c>
      <c r="E84" s="384">
        <v>0</v>
      </c>
      <c r="F84" s="384"/>
      <c r="G84" s="122">
        <v>68996</v>
      </c>
      <c r="H84" s="122">
        <v>68996</v>
      </c>
      <c r="I84" s="122">
        <v>74694</v>
      </c>
      <c r="J84" s="122">
        <v>0</v>
      </c>
      <c r="K84" s="122">
        <f t="shared" si="1"/>
        <v>74694</v>
      </c>
    </row>
    <row r="85" spans="1:11" ht="13.5" customHeight="1">
      <c r="A85" s="29"/>
      <c r="B85" s="393"/>
      <c r="C85" s="121" t="s">
        <v>363</v>
      </c>
      <c r="D85" s="383"/>
      <c r="E85" s="384"/>
      <c r="F85" s="384"/>
      <c r="G85" s="122">
        <v>26400</v>
      </c>
      <c r="H85" s="122">
        <v>26400</v>
      </c>
      <c r="I85" s="122">
        <v>26400</v>
      </c>
      <c r="J85" s="122">
        <v>0</v>
      </c>
      <c r="K85" s="122">
        <f t="shared" si="1"/>
        <v>26400</v>
      </c>
    </row>
    <row r="86" spans="1:11" ht="13.5" customHeight="1">
      <c r="A86" s="33"/>
      <c r="B86" s="393"/>
      <c r="C86" s="121" t="s">
        <v>458</v>
      </c>
      <c r="D86" s="383"/>
      <c r="E86" s="383"/>
      <c r="F86" s="394"/>
      <c r="G86" s="122">
        <v>3000</v>
      </c>
      <c r="H86" s="122">
        <v>3000</v>
      </c>
      <c r="I86" s="122">
        <v>3000</v>
      </c>
      <c r="J86" s="122">
        <v>0</v>
      </c>
      <c r="K86" s="122">
        <f t="shared" si="1"/>
        <v>3000</v>
      </c>
    </row>
    <row r="87" spans="1:11" ht="13.5" customHeight="1">
      <c r="A87" s="395" t="s">
        <v>191</v>
      </c>
      <c r="B87" s="20" t="s">
        <v>142</v>
      </c>
      <c r="C87" s="396"/>
      <c r="D87" s="28"/>
      <c r="E87" s="28"/>
      <c r="F87" s="125"/>
      <c r="G87" s="187">
        <f>G88+G89+G90</f>
        <v>143236</v>
      </c>
      <c r="H87" s="187">
        <f>H88+H89+H90</f>
        <v>143236</v>
      </c>
      <c r="I87" s="187">
        <f>I88+I89+I90</f>
        <v>143236</v>
      </c>
      <c r="J87" s="187">
        <f>J88+J89+J90</f>
        <v>0</v>
      </c>
      <c r="K87" s="311">
        <f t="shared" si="1"/>
        <v>143236</v>
      </c>
    </row>
    <row r="88" spans="1:11" ht="13.5" customHeight="1">
      <c r="A88" s="33"/>
      <c r="B88" s="393"/>
      <c r="C88" s="348" t="s">
        <v>132</v>
      </c>
      <c r="D88" s="28"/>
      <c r="E88" s="28"/>
      <c r="F88" s="28"/>
      <c r="G88" s="122">
        <v>141236</v>
      </c>
      <c r="H88" s="122">
        <v>141236</v>
      </c>
      <c r="I88" s="122">
        <v>141236</v>
      </c>
      <c r="J88" s="122">
        <v>0</v>
      </c>
      <c r="K88" s="122">
        <f t="shared" si="1"/>
        <v>141236</v>
      </c>
    </row>
    <row r="89" spans="1:11" ht="13.5" customHeight="1">
      <c r="A89" s="33"/>
      <c r="B89" s="393"/>
      <c r="C89" s="348" t="s">
        <v>235</v>
      </c>
      <c r="D89" s="28"/>
      <c r="E89" s="28"/>
      <c r="F89" s="28"/>
      <c r="G89" s="122">
        <v>0</v>
      </c>
      <c r="H89" s="122">
        <v>0</v>
      </c>
      <c r="I89" s="122">
        <v>0</v>
      </c>
      <c r="J89" s="122">
        <v>0</v>
      </c>
      <c r="K89" s="122">
        <f t="shared" si="1"/>
        <v>0</v>
      </c>
    </row>
    <row r="90" spans="1:11" ht="13.5" customHeight="1">
      <c r="A90" s="29"/>
      <c r="B90" s="393"/>
      <c r="C90" s="397" t="s">
        <v>51</v>
      </c>
      <c r="D90" s="28"/>
      <c r="E90" s="28"/>
      <c r="F90" s="28"/>
      <c r="G90" s="85">
        <f>SUM(G91:G92)</f>
        <v>2000</v>
      </c>
      <c r="H90" s="85">
        <f>SUM(H91:H92)</f>
        <v>2000</v>
      </c>
      <c r="I90" s="85">
        <f>SUM(I91:I92)</f>
        <v>2000</v>
      </c>
      <c r="J90" s="85">
        <f>SUM(J91:J92)</f>
        <v>0</v>
      </c>
      <c r="K90" s="122">
        <f t="shared" si="1"/>
        <v>2000</v>
      </c>
    </row>
    <row r="91" spans="1:11" ht="13.5" customHeight="1">
      <c r="A91" s="31"/>
      <c r="B91" s="398"/>
      <c r="C91" s="399"/>
      <c r="D91" s="32"/>
      <c r="E91" s="32"/>
      <c r="F91" s="400" t="s">
        <v>243</v>
      </c>
      <c r="G91" s="401">
        <v>2000</v>
      </c>
      <c r="H91" s="401">
        <v>2000</v>
      </c>
      <c r="I91" s="401">
        <v>2000</v>
      </c>
      <c r="J91" s="401">
        <v>0</v>
      </c>
      <c r="K91" s="122">
        <f t="shared" si="1"/>
        <v>2000</v>
      </c>
    </row>
    <row r="92" spans="1:11" ht="13.5" customHeight="1">
      <c r="A92" s="33"/>
      <c r="B92" s="393"/>
      <c r="C92" s="348"/>
      <c r="D92" s="28"/>
      <c r="E92" s="28"/>
      <c r="F92" s="402" t="s">
        <v>227</v>
      </c>
      <c r="G92" s="122">
        <v>0</v>
      </c>
      <c r="H92" s="122">
        <v>0</v>
      </c>
      <c r="I92" s="122">
        <v>0</v>
      </c>
      <c r="J92" s="122">
        <v>0</v>
      </c>
      <c r="K92" s="122">
        <f t="shared" si="1"/>
        <v>0</v>
      </c>
    </row>
    <row r="93" spans="1:69" s="305" customFormat="1" ht="13.5" customHeight="1">
      <c r="A93" s="295" t="s">
        <v>324</v>
      </c>
      <c r="B93" s="353" t="s">
        <v>178</v>
      </c>
      <c r="C93" s="314"/>
      <c r="D93" s="405" t="e">
        <f>SUM(D94,D95,D100:D105)</f>
        <v>#REF!</v>
      </c>
      <c r="E93" s="405" t="e">
        <f>SUM(E94,E95,E100:E105)</f>
        <v>#REF!</v>
      </c>
      <c r="F93" s="406"/>
      <c r="G93" s="407">
        <f>SUM(G105:G106,G100:G102,G94:G95)</f>
        <v>3995</v>
      </c>
      <c r="H93" s="407">
        <f>SUM(H105:H106,H100:H102,H94:H95)</f>
        <v>13858</v>
      </c>
      <c r="I93" s="407">
        <f>SUM(I105:I106,I100:I102,I94:I95)</f>
        <v>15640</v>
      </c>
      <c r="J93" s="408">
        <f>SUM(J105:J106,J100:J102,J94:J95)</f>
        <v>0</v>
      </c>
      <c r="K93" s="311">
        <f t="shared" si="1"/>
        <v>15640</v>
      </c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  <c r="BA93" s="304"/>
      <c r="BB93" s="304"/>
      <c r="BC93" s="304"/>
      <c r="BD93" s="304"/>
      <c r="BE93" s="304"/>
      <c r="BF93" s="304"/>
      <c r="BG93" s="304"/>
      <c r="BH93" s="304"/>
      <c r="BI93" s="304"/>
      <c r="BJ93" s="304"/>
      <c r="BK93" s="304"/>
      <c r="BL93" s="304"/>
      <c r="BM93" s="304"/>
      <c r="BN93" s="304"/>
      <c r="BO93" s="304"/>
      <c r="BP93" s="304"/>
      <c r="BQ93" s="304"/>
    </row>
    <row r="94" spans="1:11" ht="13.5" customHeight="1">
      <c r="A94" s="29"/>
      <c r="B94" s="393"/>
      <c r="C94" s="121" t="s">
        <v>130</v>
      </c>
      <c r="D94" s="383">
        <v>1620</v>
      </c>
      <c r="E94" s="384">
        <v>1963</v>
      </c>
      <c r="F94" s="384"/>
      <c r="G94" s="122">
        <v>0</v>
      </c>
      <c r="H94" s="122">
        <v>0</v>
      </c>
      <c r="I94" s="122">
        <v>0</v>
      </c>
      <c r="J94" s="122">
        <v>0</v>
      </c>
      <c r="K94" s="122">
        <f t="shared" si="1"/>
        <v>0</v>
      </c>
    </row>
    <row r="95" spans="1:11" ht="13.5" customHeight="1">
      <c r="A95" s="29"/>
      <c r="B95" s="393"/>
      <c r="C95" s="121" t="s">
        <v>131</v>
      </c>
      <c r="D95" s="409" t="e">
        <f>SUM(#REF!)</f>
        <v>#REF!</v>
      </c>
      <c r="E95" s="410" t="e">
        <f>SUM(#REF!)</f>
        <v>#REF!</v>
      </c>
      <c r="F95" s="410"/>
      <c r="G95" s="411">
        <f>SUM(G96:G99)</f>
        <v>0</v>
      </c>
      <c r="H95" s="411">
        <f>SUM(H96:H99)</f>
        <v>30</v>
      </c>
      <c r="I95" s="411">
        <f>SUM(I96:I99)</f>
        <v>30</v>
      </c>
      <c r="J95" s="411">
        <f>SUM(J96:J99)</f>
        <v>0</v>
      </c>
      <c r="K95" s="122">
        <f t="shared" si="1"/>
        <v>30</v>
      </c>
    </row>
    <row r="96" spans="1:11" ht="13.5" customHeight="1">
      <c r="A96" s="29"/>
      <c r="B96" s="393"/>
      <c r="C96" s="121"/>
      <c r="D96" s="409"/>
      <c r="E96" s="410"/>
      <c r="F96" s="412" t="s">
        <v>308</v>
      </c>
      <c r="G96" s="411">
        <v>0</v>
      </c>
      <c r="H96" s="411">
        <v>26</v>
      </c>
      <c r="I96" s="411">
        <v>26</v>
      </c>
      <c r="J96" s="411">
        <v>0</v>
      </c>
      <c r="K96" s="122">
        <f t="shared" si="1"/>
        <v>26</v>
      </c>
    </row>
    <row r="97" spans="1:11" ht="13.5" customHeight="1">
      <c r="A97" s="29"/>
      <c r="B97" s="393"/>
      <c r="C97" s="121"/>
      <c r="D97" s="409"/>
      <c r="E97" s="410"/>
      <c r="F97" s="412" t="s">
        <v>67</v>
      </c>
      <c r="G97" s="411">
        <v>0</v>
      </c>
      <c r="H97" s="411">
        <v>4</v>
      </c>
      <c r="I97" s="411">
        <v>4</v>
      </c>
      <c r="J97" s="411">
        <v>0</v>
      </c>
      <c r="K97" s="122">
        <f t="shared" si="1"/>
        <v>4</v>
      </c>
    </row>
    <row r="98" spans="1:11" ht="13.5" customHeight="1">
      <c r="A98" s="29"/>
      <c r="B98" s="393"/>
      <c r="C98" s="121"/>
      <c r="D98" s="409"/>
      <c r="E98" s="410"/>
      <c r="F98" s="412" t="s">
        <v>68</v>
      </c>
      <c r="G98" s="411">
        <v>0</v>
      </c>
      <c r="H98" s="411">
        <v>0</v>
      </c>
      <c r="I98" s="411">
        <v>0</v>
      </c>
      <c r="J98" s="411">
        <v>0</v>
      </c>
      <c r="K98" s="122">
        <f t="shared" si="1"/>
        <v>0</v>
      </c>
    </row>
    <row r="99" spans="1:11" ht="13.5" customHeight="1">
      <c r="A99" s="29"/>
      <c r="B99" s="393"/>
      <c r="C99" s="121"/>
      <c r="D99" s="409"/>
      <c r="E99" s="410"/>
      <c r="F99" s="412" t="s">
        <v>307</v>
      </c>
      <c r="G99" s="411">
        <v>0</v>
      </c>
      <c r="H99" s="411">
        <v>0</v>
      </c>
      <c r="I99" s="411">
        <v>0</v>
      </c>
      <c r="J99" s="411">
        <v>0</v>
      </c>
      <c r="K99" s="122">
        <f t="shared" si="1"/>
        <v>0</v>
      </c>
    </row>
    <row r="100" spans="1:11" ht="13.5" customHeight="1">
      <c r="A100" s="29"/>
      <c r="B100" s="393"/>
      <c r="C100" s="121" t="s">
        <v>132</v>
      </c>
      <c r="D100" s="383">
        <v>0</v>
      </c>
      <c r="E100" s="384">
        <v>3093</v>
      </c>
      <c r="F100" s="384"/>
      <c r="G100" s="122">
        <v>3995</v>
      </c>
      <c r="H100" s="122">
        <v>13828</v>
      </c>
      <c r="I100" s="122">
        <v>15170</v>
      </c>
      <c r="J100" s="122">
        <v>50</v>
      </c>
      <c r="K100" s="122">
        <f t="shared" si="1"/>
        <v>15220</v>
      </c>
    </row>
    <row r="101" spans="1:11" ht="13.5" customHeight="1">
      <c r="A101" s="29"/>
      <c r="B101" s="393"/>
      <c r="C101" s="348" t="s">
        <v>235</v>
      </c>
      <c r="D101" s="383">
        <v>0</v>
      </c>
      <c r="E101" s="384">
        <v>30</v>
      </c>
      <c r="F101" s="384"/>
      <c r="G101" s="122">
        <v>0</v>
      </c>
      <c r="H101" s="122">
        <v>0</v>
      </c>
      <c r="I101" s="122">
        <v>0</v>
      </c>
      <c r="J101" s="122">
        <v>50</v>
      </c>
      <c r="K101" s="122">
        <f t="shared" si="1"/>
        <v>50</v>
      </c>
    </row>
    <row r="102" spans="1:11" ht="13.5" customHeight="1">
      <c r="A102" s="29"/>
      <c r="B102" s="393"/>
      <c r="C102" s="397" t="s">
        <v>51</v>
      </c>
      <c r="D102" s="383"/>
      <c r="E102" s="384"/>
      <c r="F102" s="384"/>
      <c r="G102" s="122">
        <f>SUM(G103:G104)</f>
        <v>0</v>
      </c>
      <c r="H102" s="122">
        <f>SUM(H103:H104)</f>
        <v>0</v>
      </c>
      <c r="I102" s="122">
        <f>SUM(I103:I104)</f>
        <v>440</v>
      </c>
      <c r="J102" s="122">
        <f>SUM(J103:J104)</f>
        <v>-100</v>
      </c>
      <c r="K102" s="122">
        <f t="shared" si="1"/>
        <v>340</v>
      </c>
    </row>
    <row r="103" spans="1:11" ht="13.5" customHeight="1">
      <c r="A103" s="29"/>
      <c r="B103" s="393"/>
      <c r="C103" s="121"/>
      <c r="D103" s="383"/>
      <c r="E103" s="384"/>
      <c r="F103" s="400" t="s">
        <v>243</v>
      </c>
      <c r="G103" s="122">
        <v>0</v>
      </c>
      <c r="H103" s="122">
        <v>0</v>
      </c>
      <c r="I103" s="122">
        <v>440</v>
      </c>
      <c r="J103" s="122">
        <v>-100</v>
      </c>
      <c r="K103" s="122">
        <f t="shared" si="1"/>
        <v>340</v>
      </c>
    </row>
    <row r="104" spans="1:11" ht="13.5" customHeight="1">
      <c r="A104" s="29"/>
      <c r="B104" s="393"/>
      <c r="C104" s="121"/>
      <c r="D104" s="383"/>
      <c r="E104" s="384"/>
      <c r="F104" s="121" t="s">
        <v>456</v>
      </c>
      <c r="G104" s="122">
        <v>0</v>
      </c>
      <c r="H104" s="122">
        <v>0</v>
      </c>
      <c r="I104" s="122">
        <v>0</v>
      </c>
      <c r="J104" s="122">
        <v>0</v>
      </c>
      <c r="K104" s="122">
        <f t="shared" si="1"/>
        <v>0</v>
      </c>
    </row>
    <row r="105" spans="1:11" ht="13.5" customHeight="1">
      <c r="A105" s="29"/>
      <c r="B105" s="393"/>
      <c r="C105" s="121" t="s">
        <v>242</v>
      </c>
      <c r="D105" s="383">
        <v>0</v>
      </c>
      <c r="E105" s="384"/>
      <c r="F105" s="384"/>
      <c r="G105" s="122">
        <v>0</v>
      </c>
      <c r="H105" s="122">
        <v>0</v>
      </c>
      <c r="I105" s="122">
        <v>0</v>
      </c>
      <c r="J105" s="122">
        <v>0</v>
      </c>
      <c r="K105" s="122">
        <f t="shared" si="1"/>
        <v>0</v>
      </c>
    </row>
    <row r="106" spans="1:11" ht="13.5" customHeight="1">
      <c r="A106" s="33"/>
      <c r="B106" s="392"/>
      <c r="C106" s="372" t="s">
        <v>52</v>
      </c>
      <c r="D106" s="383"/>
      <c r="E106" s="384"/>
      <c r="F106" s="384"/>
      <c r="G106" s="122">
        <v>0</v>
      </c>
      <c r="H106" s="122">
        <v>0</v>
      </c>
      <c r="I106" s="122">
        <v>0</v>
      </c>
      <c r="J106" s="122">
        <v>0</v>
      </c>
      <c r="K106" s="122">
        <f t="shared" si="1"/>
        <v>0</v>
      </c>
    </row>
    <row r="107" spans="1:69" s="305" customFormat="1" ht="13.5" customHeight="1">
      <c r="A107" s="295" t="s">
        <v>325</v>
      </c>
      <c r="B107" s="413" t="s">
        <v>164</v>
      </c>
      <c r="C107" s="414"/>
      <c r="D107" s="368" t="e">
        <f>SUM(D108,D110,D116,#REF!,D118,D121,D122)</f>
        <v>#REF!</v>
      </c>
      <c r="E107" s="368" t="e">
        <f>SUM(E108,E110,E116,#REF!,E118,E121,E122)</f>
        <v>#REF!</v>
      </c>
      <c r="F107" s="369"/>
      <c r="G107" s="368">
        <f>SUM(G108,G110,G116,G117,G120,G125:G132,G135,G140,G143,G150)</f>
        <v>5713354</v>
      </c>
      <c r="H107" s="368">
        <f>SUM(H108,H110,H116,H117,H120,H125:H132,H135,H140,H143,H150)</f>
        <v>7756315</v>
      </c>
      <c r="I107" s="368">
        <f>SUM(I108,I110,I116,I117,I120,I125:I132,I135,I140,I143,I150)</f>
        <v>7979532</v>
      </c>
      <c r="J107" s="368">
        <f>SUM(J108,J110,J116,J117,J120,J125:J132,J135,J140,J143,J150)</f>
        <v>-1075575</v>
      </c>
      <c r="K107" s="311">
        <f t="shared" si="1"/>
        <v>6903957</v>
      </c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</row>
    <row r="108" spans="1:69" s="419" customFormat="1" ht="13.5" customHeight="1">
      <c r="A108" s="415"/>
      <c r="B108" s="416"/>
      <c r="C108" s="348" t="s">
        <v>130</v>
      </c>
      <c r="D108" s="417">
        <v>211132</v>
      </c>
      <c r="E108" s="418">
        <v>223678</v>
      </c>
      <c r="F108" s="418"/>
      <c r="G108" s="122">
        <v>808598</v>
      </c>
      <c r="H108" s="122">
        <v>842421</v>
      </c>
      <c r="I108" s="122">
        <v>855426</v>
      </c>
      <c r="J108" s="122">
        <v>15212</v>
      </c>
      <c r="K108" s="122">
        <f t="shared" si="1"/>
        <v>870638</v>
      </c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</row>
    <row r="109" spans="1:69" s="419" customFormat="1" ht="13.5" customHeight="1">
      <c r="A109" s="415"/>
      <c r="B109" s="347"/>
      <c r="C109" s="420"/>
      <c r="D109" s="417"/>
      <c r="E109" s="418"/>
      <c r="F109" s="397" t="s">
        <v>387</v>
      </c>
      <c r="G109" s="122">
        <v>71039</v>
      </c>
      <c r="H109" s="122">
        <v>71039</v>
      </c>
      <c r="I109" s="122">
        <v>71039</v>
      </c>
      <c r="J109" s="122">
        <v>0</v>
      </c>
      <c r="K109" s="122">
        <f t="shared" si="1"/>
        <v>71039</v>
      </c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</row>
    <row r="110" spans="1:11" ht="13.5" customHeight="1">
      <c r="A110" s="415"/>
      <c r="B110" s="393"/>
      <c r="C110" s="348" t="s">
        <v>131</v>
      </c>
      <c r="D110" s="409" t="e">
        <f>SUM(#REF!)</f>
        <v>#REF!</v>
      </c>
      <c r="E110" s="410" t="e">
        <f>SUM(#REF!)</f>
        <v>#REF!</v>
      </c>
      <c r="F110" s="410"/>
      <c r="G110" s="382">
        <f>SUM(G112:G115)</f>
        <v>245201</v>
      </c>
      <c r="H110" s="382">
        <f>SUM(H112:H115)</f>
        <v>255905</v>
      </c>
      <c r="I110" s="382">
        <f>SUM(I112:I115)</f>
        <v>259739</v>
      </c>
      <c r="J110" s="382">
        <f>SUM(J112:J115)</f>
        <v>4867</v>
      </c>
      <c r="K110" s="122">
        <f t="shared" si="1"/>
        <v>264606</v>
      </c>
    </row>
    <row r="111" spans="1:11" ht="13.5" customHeight="1">
      <c r="A111" s="415"/>
      <c r="B111" s="347"/>
      <c r="C111" s="392"/>
      <c r="D111" s="409"/>
      <c r="E111" s="410"/>
      <c r="F111" s="397" t="s">
        <v>387</v>
      </c>
      <c r="G111" s="122">
        <v>21186</v>
      </c>
      <c r="H111" s="122">
        <v>21186</v>
      </c>
      <c r="I111" s="122">
        <v>21186</v>
      </c>
      <c r="J111" s="122">
        <v>0</v>
      </c>
      <c r="K111" s="122">
        <f t="shared" si="1"/>
        <v>21186</v>
      </c>
    </row>
    <row r="112" spans="1:11" ht="13.5" customHeight="1">
      <c r="A112" s="421"/>
      <c r="B112" s="347"/>
      <c r="C112" s="392"/>
      <c r="D112" s="409"/>
      <c r="E112" s="410"/>
      <c r="F112" s="412" t="s">
        <v>308</v>
      </c>
      <c r="G112" s="122">
        <v>216635</v>
      </c>
      <c r="H112" s="122">
        <v>226401</v>
      </c>
      <c r="I112" s="122">
        <v>230038</v>
      </c>
      <c r="J112" s="122">
        <v>4412</v>
      </c>
      <c r="K112" s="122">
        <f t="shared" si="1"/>
        <v>234450</v>
      </c>
    </row>
    <row r="113" spans="1:11" ht="13.5" customHeight="1">
      <c r="A113" s="421"/>
      <c r="B113" s="347"/>
      <c r="C113" s="392"/>
      <c r="D113" s="409"/>
      <c r="E113" s="410"/>
      <c r="F113" s="412" t="s">
        <v>67</v>
      </c>
      <c r="G113" s="122">
        <v>19620</v>
      </c>
      <c r="H113" s="122">
        <v>20630</v>
      </c>
      <c r="I113" s="122">
        <v>20824</v>
      </c>
      <c r="J113" s="122">
        <v>455</v>
      </c>
      <c r="K113" s="122">
        <f t="shared" si="1"/>
        <v>21279</v>
      </c>
    </row>
    <row r="114" spans="1:11" ht="13.5" customHeight="1">
      <c r="A114" s="421"/>
      <c r="B114" s="347"/>
      <c r="C114" s="392"/>
      <c r="D114" s="409"/>
      <c r="E114" s="410"/>
      <c r="F114" s="412" t="s">
        <v>68</v>
      </c>
      <c r="G114" s="122">
        <v>6146</v>
      </c>
      <c r="H114" s="122">
        <v>6074</v>
      </c>
      <c r="I114" s="122">
        <v>6077</v>
      </c>
      <c r="J114" s="122">
        <v>0</v>
      </c>
      <c r="K114" s="122">
        <f t="shared" si="1"/>
        <v>6077</v>
      </c>
    </row>
    <row r="115" spans="1:11" ht="13.5" customHeight="1">
      <c r="A115" s="421"/>
      <c r="B115" s="347"/>
      <c r="C115" s="392"/>
      <c r="D115" s="409"/>
      <c r="E115" s="410"/>
      <c r="F115" s="412" t="s">
        <v>307</v>
      </c>
      <c r="G115" s="122">
        <v>2800</v>
      </c>
      <c r="H115" s="122">
        <v>2800</v>
      </c>
      <c r="I115" s="122">
        <v>2800</v>
      </c>
      <c r="J115" s="122">
        <v>0</v>
      </c>
      <c r="K115" s="122">
        <f t="shared" si="1"/>
        <v>2800</v>
      </c>
    </row>
    <row r="116" spans="1:11" ht="13.5" customHeight="1">
      <c r="A116" s="421"/>
      <c r="B116" s="393"/>
      <c r="C116" s="348" t="s">
        <v>132</v>
      </c>
      <c r="D116" s="417">
        <v>168686</v>
      </c>
      <c r="E116" s="418">
        <v>284089</v>
      </c>
      <c r="F116" s="418"/>
      <c r="G116" s="122">
        <v>1004145</v>
      </c>
      <c r="H116" s="122">
        <v>1138209</v>
      </c>
      <c r="I116" s="122">
        <v>1179295</v>
      </c>
      <c r="J116" s="122">
        <v>4213</v>
      </c>
      <c r="K116" s="122">
        <f t="shared" si="1"/>
        <v>1183508</v>
      </c>
    </row>
    <row r="117" spans="1:11" ht="13.5" customHeight="1">
      <c r="A117" s="421"/>
      <c r="B117" s="393"/>
      <c r="C117" s="348" t="s">
        <v>235</v>
      </c>
      <c r="D117" s="417"/>
      <c r="E117" s="418"/>
      <c r="F117" s="418"/>
      <c r="G117" s="374">
        <f>SUM(G118:G118)</f>
        <v>120170</v>
      </c>
      <c r="H117" s="374">
        <f>SUM(H118:H118)</f>
        <v>359981</v>
      </c>
      <c r="I117" s="374">
        <f>SUM(I118:I118)</f>
        <v>360236</v>
      </c>
      <c r="J117" s="374">
        <f>SUM(J118:J118)</f>
        <v>0</v>
      </c>
      <c r="K117" s="401">
        <f t="shared" si="1"/>
        <v>360236</v>
      </c>
    </row>
    <row r="118" spans="1:69" s="419" customFormat="1" ht="13.5" customHeight="1">
      <c r="A118" s="422"/>
      <c r="B118" s="423"/>
      <c r="C118" s="399"/>
      <c r="D118" s="424">
        <v>147700</v>
      </c>
      <c r="E118" s="425">
        <v>196371</v>
      </c>
      <c r="F118" s="313" t="s">
        <v>245</v>
      </c>
      <c r="G118" s="401">
        <v>120170</v>
      </c>
      <c r="H118" s="426">
        <v>359981</v>
      </c>
      <c r="I118" s="426">
        <v>360236</v>
      </c>
      <c r="J118" s="426">
        <v>0</v>
      </c>
      <c r="K118" s="401">
        <f t="shared" si="1"/>
        <v>360236</v>
      </c>
      <c r="L118" s="309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</row>
    <row r="119" spans="1:69" s="419" customFormat="1" ht="13.5" customHeight="1">
      <c r="A119" s="427"/>
      <c r="B119" s="428"/>
      <c r="C119" s="429"/>
      <c r="D119" s="430"/>
      <c r="E119" s="431"/>
      <c r="F119" s="432" t="s">
        <v>288</v>
      </c>
      <c r="G119" s="433">
        <v>0</v>
      </c>
      <c r="H119" s="433">
        <v>239811</v>
      </c>
      <c r="I119" s="433">
        <v>239811</v>
      </c>
      <c r="J119" s="433">
        <v>0</v>
      </c>
      <c r="K119" s="434">
        <f t="shared" si="1"/>
        <v>239811</v>
      </c>
      <c r="L119" s="309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</row>
    <row r="120" spans="1:11" ht="13.5" customHeight="1">
      <c r="A120" s="421"/>
      <c r="B120" s="393"/>
      <c r="C120" s="397" t="s">
        <v>53</v>
      </c>
      <c r="D120" s="417">
        <v>36000</v>
      </c>
      <c r="E120" s="418">
        <v>29000</v>
      </c>
      <c r="F120" s="418"/>
      <c r="G120" s="374">
        <f>SUM(G121:G124)</f>
        <v>203285</v>
      </c>
      <c r="H120" s="374">
        <f>SUM(H121:H124)</f>
        <v>217119</v>
      </c>
      <c r="I120" s="374">
        <f>SUM(I121:I124)</f>
        <v>220223</v>
      </c>
      <c r="J120" s="374">
        <f>SUM(J121:J124)</f>
        <v>540</v>
      </c>
      <c r="K120" s="434">
        <f t="shared" si="1"/>
        <v>220763</v>
      </c>
    </row>
    <row r="121" spans="1:69" s="419" customFormat="1" ht="13.5" customHeight="1">
      <c r="A121" s="421"/>
      <c r="B121" s="347"/>
      <c r="C121" s="420"/>
      <c r="D121" s="417">
        <v>200</v>
      </c>
      <c r="E121" s="418">
        <v>4011</v>
      </c>
      <c r="F121" s="348" t="s">
        <v>243</v>
      </c>
      <c r="G121" s="122">
        <v>79285</v>
      </c>
      <c r="H121" s="122">
        <v>92719</v>
      </c>
      <c r="I121" s="122">
        <v>95823</v>
      </c>
      <c r="J121" s="122">
        <v>540</v>
      </c>
      <c r="K121" s="122">
        <f t="shared" si="1"/>
        <v>96363</v>
      </c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</row>
    <row r="122" spans="1:11" ht="13.5" customHeight="1">
      <c r="A122" s="421"/>
      <c r="B122" s="347"/>
      <c r="C122" s="392"/>
      <c r="D122" s="409">
        <f>SUM(D123:D126)</f>
        <v>207972</v>
      </c>
      <c r="E122" s="410">
        <f>SUM(E123:E126)</f>
        <v>224078</v>
      </c>
      <c r="F122" s="348" t="s">
        <v>233</v>
      </c>
      <c r="G122" s="122">
        <v>124000</v>
      </c>
      <c r="H122" s="122">
        <v>124400</v>
      </c>
      <c r="I122" s="122">
        <v>124400</v>
      </c>
      <c r="J122" s="122">
        <v>0</v>
      </c>
      <c r="K122" s="122">
        <f t="shared" si="1"/>
        <v>124400</v>
      </c>
    </row>
    <row r="123" spans="1:11" ht="13.5" customHeight="1">
      <c r="A123" s="421"/>
      <c r="B123" s="435"/>
      <c r="C123" s="392"/>
      <c r="D123" s="417">
        <v>16700</v>
      </c>
      <c r="E123" s="418">
        <v>33306</v>
      </c>
      <c r="F123" s="348" t="s">
        <v>244</v>
      </c>
      <c r="G123" s="122">
        <v>0</v>
      </c>
      <c r="H123" s="122">
        <v>0</v>
      </c>
      <c r="I123" s="122">
        <v>0</v>
      </c>
      <c r="J123" s="122">
        <v>0</v>
      </c>
      <c r="K123" s="122">
        <f t="shared" si="1"/>
        <v>0</v>
      </c>
    </row>
    <row r="124" spans="1:11" ht="13.5" customHeight="1">
      <c r="A124" s="421"/>
      <c r="B124" s="435"/>
      <c r="C124" s="392"/>
      <c r="D124" s="417"/>
      <c r="E124" s="418"/>
      <c r="F124" s="397" t="s">
        <v>426</v>
      </c>
      <c r="G124" s="122">
        <v>0</v>
      </c>
      <c r="H124" s="122">
        <v>0</v>
      </c>
      <c r="I124" s="122">
        <v>0</v>
      </c>
      <c r="J124" s="122">
        <v>0</v>
      </c>
      <c r="K124" s="122">
        <f t="shared" si="1"/>
        <v>0</v>
      </c>
    </row>
    <row r="125" spans="1:11" ht="13.5" customHeight="1">
      <c r="A125" s="421"/>
      <c r="B125" s="393"/>
      <c r="C125" s="348" t="s">
        <v>76</v>
      </c>
      <c r="D125" s="417">
        <v>191272</v>
      </c>
      <c r="E125" s="418">
        <v>181741</v>
      </c>
      <c r="F125" s="436"/>
      <c r="G125" s="122">
        <v>0</v>
      </c>
      <c r="H125" s="122">
        <v>0</v>
      </c>
      <c r="I125" s="122">
        <v>0</v>
      </c>
      <c r="J125" s="122">
        <v>0</v>
      </c>
      <c r="K125" s="122">
        <f t="shared" si="1"/>
        <v>0</v>
      </c>
    </row>
    <row r="126" spans="1:69" s="346" customFormat="1" ht="13.5" customHeight="1">
      <c r="A126" s="421"/>
      <c r="B126" s="437"/>
      <c r="C126" s="348" t="s">
        <v>133</v>
      </c>
      <c r="D126" s="417">
        <v>0</v>
      </c>
      <c r="E126" s="418">
        <v>9031</v>
      </c>
      <c r="F126" s="438"/>
      <c r="G126" s="122">
        <v>0</v>
      </c>
      <c r="H126" s="122">
        <v>297682</v>
      </c>
      <c r="I126" s="122">
        <v>374041</v>
      </c>
      <c r="J126" s="122">
        <v>264939</v>
      </c>
      <c r="K126" s="122">
        <f t="shared" si="1"/>
        <v>638980</v>
      </c>
      <c r="L126" s="266"/>
      <c r="M126" s="266"/>
      <c r="N126" s="266"/>
      <c r="O126" s="266"/>
      <c r="P126" s="266"/>
      <c r="Q126" s="309"/>
      <c r="R126" s="266"/>
      <c r="S126" s="266"/>
      <c r="T126" s="266"/>
      <c r="U126" s="266"/>
      <c r="V126" s="266"/>
      <c r="W126" s="266"/>
      <c r="X126" s="266"/>
      <c r="Y126" s="266"/>
      <c r="Z126" s="266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</row>
    <row r="127" spans="1:69" s="346" customFormat="1" ht="13.5" customHeight="1">
      <c r="A127" s="421"/>
      <c r="B127" s="437"/>
      <c r="C127" s="313" t="s">
        <v>343</v>
      </c>
      <c r="D127" s="417"/>
      <c r="E127" s="418"/>
      <c r="F127" s="438"/>
      <c r="G127" s="122">
        <v>0</v>
      </c>
      <c r="H127" s="122">
        <v>0</v>
      </c>
      <c r="I127" s="122">
        <v>0</v>
      </c>
      <c r="J127" s="122">
        <v>0</v>
      </c>
      <c r="K127" s="122">
        <f t="shared" si="1"/>
        <v>0</v>
      </c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</row>
    <row r="128" spans="1:69" s="346" customFormat="1" ht="13.5" customHeight="1">
      <c r="A128" s="421"/>
      <c r="B128" s="437"/>
      <c r="C128" s="348" t="s">
        <v>249</v>
      </c>
      <c r="D128" s="417"/>
      <c r="E128" s="418"/>
      <c r="F128" s="438"/>
      <c r="G128" s="122">
        <v>0</v>
      </c>
      <c r="H128" s="122">
        <v>0</v>
      </c>
      <c r="I128" s="122">
        <v>0</v>
      </c>
      <c r="J128" s="122">
        <v>0</v>
      </c>
      <c r="K128" s="122">
        <f t="shared" si="1"/>
        <v>0</v>
      </c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</row>
    <row r="129" spans="1:69" s="346" customFormat="1" ht="13.5" customHeight="1">
      <c r="A129" s="421"/>
      <c r="B129" s="437"/>
      <c r="C129" s="348" t="s">
        <v>134</v>
      </c>
      <c r="D129" s="417"/>
      <c r="E129" s="418"/>
      <c r="F129" s="438"/>
      <c r="G129" s="122">
        <v>50196</v>
      </c>
      <c r="H129" s="122">
        <v>61951</v>
      </c>
      <c r="I129" s="122">
        <v>81546</v>
      </c>
      <c r="J129" s="122">
        <v>0</v>
      </c>
      <c r="K129" s="122">
        <f t="shared" si="1"/>
        <v>81546</v>
      </c>
      <c r="L129" s="266"/>
      <c r="M129" s="266"/>
      <c r="N129" s="266"/>
      <c r="O129" s="309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</row>
    <row r="130" spans="1:69" s="346" customFormat="1" ht="13.5" customHeight="1">
      <c r="A130" s="421"/>
      <c r="B130" s="437"/>
      <c r="C130" s="348" t="s">
        <v>93</v>
      </c>
      <c r="D130" s="417"/>
      <c r="E130" s="418"/>
      <c r="F130" s="438"/>
      <c r="G130" s="122">
        <v>0</v>
      </c>
      <c r="H130" s="122">
        <v>418623</v>
      </c>
      <c r="I130" s="122">
        <v>410543</v>
      </c>
      <c r="J130" s="122">
        <v>-256430</v>
      </c>
      <c r="K130" s="122">
        <f t="shared" si="1"/>
        <v>154113</v>
      </c>
      <c r="L130" s="266"/>
      <c r="M130" s="266"/>
      <c r="N130" s="266"/>
      <c r="O130" s="266"/>
      <c r="P130" s="309"/>
      <c r="Q130" s="309"/>
      <c r="R130" s="266"/>
      <c r="S130" s="266"/>
      <c r="T130" s="266"/>
      <c r="U130" s="266"/>
      <c r="V130" s="266"/>
      <c r="W130" s="266"/>
      <c r="X130" s="266"/>
      <c r="Y130" s="266"/>
      <c r="Z130" s="266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</row>
    <row r="131" spans="1:69" s="346" customFormat="1" ht="13.5" customHeight="1">
      <c r="A131" s="421"/>
      <c r="B131" s="437"/>
      <c r="C131" s="348" t="s">
        <v>94</v>
      </c>
      <c r="D131" s="417"/>
      <c r="E131" s="418"/>
      <c r="F131" s="438"/>
      <c r="G131" s="122">
        <v>0</v>
      </c>
      <c r="H131" s="122">
        <v>0</v>
      </c>
      <c r="I131" s="122">
        <v>0</v>
      </c>
      <c r="J131" s="122">
        <v>250</v>
      </c>
      <c r="K131" s="122">
        <f t="shared" si="1"/>
        <v>250</v>
      </c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</row>
    <row r="132" spans="1:69" s="346" customFormat="1" ht="13.5" customHeight="1">
      <c r="A132" s="421"/>
      <c r="B132" s="437"/>
      <c r="C132" s="348" t="s">
        <v>237</v>
      </c>
      <c r="D132" s="417"/>
      <c r="E132" s="418"/>
      <c r="F132" s="438"/>
      <c r="G132" s="378">
        <f>SUM(G133:G133)</f>
        <v>95283</v>
      </c>
      <c r="H132" s="378">
        <f>SUM(H133:H133)</f>
        <v>1924770</v>
      </c>
      <c r="I132" s="378">
        <f>SUM(I133:I133)</f>
        <v>1924770</v>
      </c>
      <c r="J132" s="378">
        <f>SUM(J133:J133)</f>
        <v>-1190107</v>
      </c>
      <c r="K132" s="401">
        <f t="shared" si="1"/>
        <v>734663</v>
      </c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</row>
    <row r="133" spans="1:69" s="346" customFormat="1" ht="13.5" customHeight="1">
      <c r="A133" s="422"/>
      <c r="B133" s="439"/>
      <c r="C133" s="440"/>
      <c r="D133" s="424"/>
      <c r="E133" s="425"/>
      <c r="F133" s="313" t="s">
        <v>245</v>
      </c>
      <c r="G133" s="401">
        <v>95283</v>
      </c>
      <c r="H133" s="426">
        <v>1924770</v>
      </c>
      <c r="I133" s="426">
        <v>1924770</v>
      </c>
      <c r="J133" s="426">
        <v>-1190107</v>
      </c>
      <c r="K133" s="401">
        <f t="shared" si="1"/>
        <v>734663</v>
      </c>
      <c r="L133" s="266"/>
      <c r="M133" s="309"/>
      <c r="N133" s="309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</row>
    <row r="134" spans="1:69" s="346" customFormat="1" ht="13.5" customHeight="1">
      <c r="A134" s="427"/>
      <c r="B134" s="441"/>
      <c r="C134" s="442"/>
      <c r="D134" s="430"/>
      <c r="E134" s="431"/>
      <c r="F134" s="432" t="s">
        <v>288</v>
      </c>
      <c r="G134" s="434">
        <v>0</v>
      </c>
      <c r="H134" s="433">
        <v>121683</v>
      </c>
      <c r="I134" s="433">
        <v>121683</v>
      </c>
      <c r="J134" s="433">
        <v>0</v>
      </c>
      <c r="K134" s="434">
        <f t="shared" si="1"/>
        <v>121683</v>
      </c>
      <c r="L134" s="266"/>
      <c r="M134" s="309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</row>
    <row r="135" spans="1:69" s="346" customFormat="1" ht="13.5" customHeight="1">
      <c r="A135" s="421"/>
      <c r="B135" s="437"/>
      <c r="C135" s="348" t="s">
        <v>211</v>
      </c>
      <c r="D135" s="417"/>
      <c r="E135" s="418"/>
      <c r="F135" s="418"/>
      <c r="G135" s="378">
        <f>SUM(G136:G139)</f>
        <v>20000</v>
      </c>
      <c r="H135" s="378">
        <f>SUM(H136:H139)</f>
        <v>23000</v>
      </c>
      <c r="I135" s="378">
        <f>SUM(I136:I139)</f>
        <v>23556</v>
      </c>
      <c r="J135" s="378">
        <f>SUM(J136:J139)</f>
        <v>21832</v>
      </c>
      <c r="K135" s="434">
        <f t="shared" si="1"/>
        <v>45388</v>
      </c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</row>
    <row r="136" spans="1:69" s="346" customFormat="1" ht="13.5" customHeight="1">
      <c r="A136" s="421"/>
      <c r="B136" s="347"/>
      <c r="C136" s="443"/>
      <c r="D136" s="417"/>
      <c r="E136" s="418"/>
      <c r="F136" s="348" t="s">
        <v>243</v>
      </c>
      <c r="G136" s="122">
        <v>0</v>
      </c>
      <c r="H136" s="122">
        <v>0</v>
      </c>
      <c r="I136" s="122">
        <v>556</v>
      </c>
      <c r="J136" s="122">
        <v>21832</v>
      </c>
      <c r="K136" s="122">
        <f t="shared" si="1"/>
        <v>22388</v>
      </c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</row>
    <row r="137" spans="1:69" s="346" customFormat="1" ht="13.5" customHeight="1">
      <c r="A137" s="421"/>
      <c r="B137" s="347"/>
      <c r="C137" s="443"/>
      <c r="D137" s="417"/>
      <c r="E137" s="418"/>
      <c r="F137" s="444" t="s">
        <v>246</v>
      </c>
      <c r="G137" s="122">
        <v>20000</v>
      </c>
      <c r="H137" s="122">
        <v>20000</v>
      </c>
      <c r="I137" s="122">
        <v>20000</v>
      </c>
      <c r="J137" s="122">
        <v>0</v>
      </c>
      <c r="K137" s="122">
        <f aca="true" t="shared" si="2" ref="K137:K171">SUM(I137:J137)</f>
        <v>20000</v>
      </c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</row>
    <row r="138" spans="1:69" s="346" customFormat="1" ht="13.5" customHeight="1">
      <c r="A138" s="421"/>
      <c r="B138" s="347"/>
      <c r="C138" s="443"/>
      <c r="D138" s="417"/>
      <c r="E138" s="418"/>
      <c r="F138" s="444" t="s">
        <v>150</v>
      </c>
      <c r="G138" s="122">
        <v>0</v>
      </c>
      <c r="H138" s="122">
        <v>0</v>
      </c>
      <c r="I138" s="122">
        <v>0</v>
      </c>
      <c r="J138" s="122">
        <v>0</v>
      </c>
      <c r="K138" s="122">
        <f t="shared" si="2"/>
        <v>0</v>
      </c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</row>
    <row r="139" spans="1:69" s="346" customFormat="1" ht="13.5" customHeight="1">
      <c r="A139" s="415"/>
      <c r="B139" s="347"/>
      <c r="C139" s="443"/>
      <c r="D139" s="417"/>
      <c r="E139" s="418"/>
      <c r="F139" s="445" t="s">
        <v>426</v>
      </c>
      <c r="G139" s="122">
        <v>0</v>
      </c>
      <c r="H139" s="122">
        <v>3000</v>
      </c>
      <c r="I139" s="122">
        <v>3000</v>
      </c>
      <c r="J139" s="122">
        <v>0</v>
      </c>
      <c r="K139" s="122">
        <f t="shared" si="2"/>
        <v>3000</v>
      </c>
      <c r="L139" s="309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</row>
    <row r="140" spans="1:69" s="346" customFormat="1" ht="13.5" customHeight="1">
      <c r="A140" s="415"/>
      <c r="B140" s="347"/>
      <c r="C140" s="871" t="s">
        <v>463</v>
      </c>
      <c r="D140" s="871"/>
      <c r="E140" s="871"/>
      <c r="F140" s="872"/>
      <c r="G140" s="377">
        <f>SUM(G141:G142)</f>
        <v>8912</v>
      </c>
      <c r="H140" s="377">
        <f>SUM(H141:H142)</f>
        <v>8912</v>
      </c>
      <c r="I140" s="377">
        <f>SUM(I141:I142)</f>
        <v>8912</v>
      </c>
      <c r="J140" s="377">
        <f>SUM(J141:J142)</f>
        <v>61000</v>
      </c>
      <c r="K140" s="122">
        <f t="shared" si="2"/>
        <v>69912</v>
      </c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</row>
    <row r="141" spans="1:69" s="346" customFormat="1" ht="13.5" customHeight="1">
      <c r="A141" s="421"/>
      <c r="B141" s="347"/>
      <c r="C141" s="447"/>
      <c r="D141" s="447"/>
      <c r="E141" s="447"/>
      <c r="F141" s="448" t="s">
        <v>464</v>
      </c>
      <c r="G141" s="122">
        <v>0</v>
      </c>
      <c r="H141" s="122">
        <v>0</v>
      </c>
      <c r="I141" s="122">
        <v>0</v>
      </c>
      <c r="J141" s="122">
        <v>0</v>
      </c>
      <c r="K141" s="122">
        <f t="shared" si="2"/>
        <v>0</v>
      </c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</row>
    <row r="142" spans="1:69" s="346" customFormat="1" ht="13.5" customHeight="1">
      <c r="A142" s="421"/>
      <c r="B142" s="347"/>
      <c r="C142" s="447"/>
      <c r="D142" s="447"/>
      <c r="E142" s="447"/>
      <c r="F142" s="448" t="s">
        <v>465</v>
      </c>
      <c r="G142" s="122">
        <v>8912</v>
      </c>
      <c r="H142" s="122">
        <v>8912</v>
      </c>
      <c r="I142" s="122">
        <v>8912</v>
      </c>
      <c r="J142" s="122">
        <v>61000</v>
      </c>
      <c r="K142" s="122">
        <f t="shared" si="2"/>
        <v>69912</v>
      </c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</row>
    <row r="143" spans="1:69" s="346" customFormat="1" ht="13.5" customHeight="1">
      <c r="A143" s="421"/>
      <c r="B143" s="347"/>
      <c r="C143" s="449" t="s">
        <v>400</v>
      </c>
      <c r="D143" s="450"/>
      <c r="E143" s="450"/>
      <c r="F143" s="451"/>
      <c r="G143" s="377">
        <f>SUM(G144:G146)</f>
        <v>2945516</v>
      </c>
      <c r="H143" s="377">
        <f>SUM(H144:H146)</f>
        <v>1995694</v>
      </c>
      <c r="I143" s="377">
        <f>SUM(I144:I146)</f>
        <v>2069197</v>
      </c>
      <c r="J143" s="377">
        <f>SUM(J144:J146)</f>
        <v>-1891</v>
      </c>
      <c r="K143" s="122">
        <f t="shared" si="2"/>
        <v>2067306</v>
      </c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</row>
    <row r="144" spans="1:69" s="346" customFormat="1" ht="13.5" customHeight="1">
      <c r="A144" s="421"/>
      <c r="B144" s="347"/>
      <c r="C144" s="452"/>
      <c r="D144" s="450"/>
      <c r="E144" s="450"/>
      <c r="F144" s="448" t="s">
        <v>433</v>
      </c>
      <c r="G144" s="122">
        <v>1925832</v>
      </c>
      <c r="H144" s="122">
        <v>0</v>
      </c>
      <c r="I144" s="122">
        <v>0</v>
      </c>
      <c r="J144" s="122">
        <v>0</v>
      </c>
      <c r="K144" s="122">
        <f t="shared" si="2"/>
        <v>0</v>
      </c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</row>
    <row r="145" spans="1:69" s="346" customFormat="1" ht="13.5" customHeight="1">
      <c r="A145" s="421"/>
      <c r="B145" s="347"/>
      <c r="C145" s="453"/>
      <c r="D145" s="454"/>
      <c r="E145" s="454"/>
      <c r="F145" s="455" t="s">
        <v>3</v>
      </c>
      <c r="G145" s="122">
        <v>78000</v>
      </c>
      <c r="H145" s="122">
        <v>63366</v>
      </c>
      <c r="I145" s="122">
        <v>3445</v>
      </c>
      <c r="J145" s="122">
        <v>-2073</v>
      </c>
      <c r="K145" s="122">
        <f t="shared" si="2"/>
        <v>1372</v>
      </c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</row>
    <row r="146" spans="1:69" s="346" customFormat="1" ht="13.5" customHeight="1">
      <c r="A146" s="415"/>
      <c r="B146" s="347"/>
      <c r="C146" s="456"/>
      <c r="D146" s="457"/>
      <c r="E146" s="457"/>
      <c r="F146" s="502" t="s">
        <v>434</v>
      </c>
      <c r="G146" s="122">
        <v>941684</v>
      </c>
      <c r="H146" s="122">
        <v>1932328</v>
      </c>
      <c r="I146" s="122">
        <v>2065752</v>
      </c>
      <c r="J146" s="122">
        <v>182</v>
      </c>
      <c r="K146" s="122">
        <f t="shared" si="2"/>
        <v>2065934</v>
      </c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</row>
    <row r="147" spans="1:69" s="346" customFormat="1" ht="13.5" customHeight="1">
      <c r="A147" s="446"/>
      <c r="B147" s="403"/>
      <c r="C147" s="668"/>
      <c r="D147" s="669"/>
      <c r="E147" s="669"/>
      <c r="F147" s="670"/>
      <c r="G147" s="404"/>
      <c r="H147" s="404"/>
      <c r="I147" s="404"/>
      <c r="J147" s="404"/>
      <c r="K147" s="404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</row>
    <row r="148" spans="1:69" s="346" customFormat="1" ht="13.5" customHeight="1">
      <c r="A148" s="446"/>
      <c r="B148" s="403"/>
      <c r="C148" s="668"/>
      <c r="D148" s="669"/>
      <c r="E148" s="669"/>
      <c r="F148" s="670"/>
      <c r="G148" s="404"/>
      <c r="H148" s="404"/>
      <c r="I148" s="404"/>
      <c r="J148" s="404"/>
      <c r="K148" s="404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</row>
    <row r="149" spans="1:69" s="346" customFormat="1" ht="13.5" customHeight="1">
      <c r="A149" s="446"/>
      <c r="B149" s="403"/>
      <c r="C149" s="668"/>
      <c r="D149" s="669"/>
      <c r="E149" s="669"/>
      <c r="F149" s="670"/>
      <c r="G149" s="404"/>
      <c r="H149" s="404"/>
      <c r="I149" s="404"/>
      <c r="J149" s="404"/>
      <c r="K149" s="404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</row>
    <row r="150" spans="1:69" s="346" customFormat="1" ht="13.5" customHeight="1">
      <c r="A150" s="415"/>
      <c r="B150" s="347"/>
      <c r="C150" s="871" t="s">
        <v>431</v>
      </c>
      <c r="D150" s="871"/>
      <c r="E150" s="871"/>
      <c r="F150" s="872"/>
      <c r="G150" s="377">
        <f>SUM(G151:G153)</f>
        <v>212048</v>
      </c>
      <c r="H150" s="377">
        <f>SUM(H151:H153)</f>
        <v>212048</v>
      </c>
      <c r="I150" s="377">
        <f>SUM(I151:I153)</f>
        <v>212048</v>
      </c>
      <c r="J150" s="377">
        <f>SUM(J151:J153)</f>
        <v>0</v>
      </c>
      <c r="K150" s="122">
        <f t="shared" si="2"/>
        <v>212048</v>
      </c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</row>
    <row r="151" spans="1:69" s="346" customFormat="1" ht="13.5" customHeight="1">
      <c r="A151" s="421"/>
      <c r="B151" s="347"/>
      <c r="C151" s="372"/>
      <c r="D151" s="372"/>
      <c r="E151" s="372"/>
      <c r="F151" s="447" t="s">
        <v>399</v>
      </c>
      <c r="G151" s="122">
        <v>76985</v>
      </c>
      <c r="H151" s="122">
        <v>76985</v>
      </c>
      <c r="I151" s="122">
        <v>76985</v>
      </c>
      <c r="J151" s="122">
        <v>0</v>
      </c>
      <c r="K151" s="122">
        <f t="shared" si="2"/>
        <v>76985</v>
      </c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</row>
    <row r="152" spans="1:69" s="346" customFormat="1" ht="13.5" customHeight="1">
      <c r="A152" s="421"/>
      <c r="B152" s="347"/>
      <c r="C152" s="372"/>
      <c r="D152" s="372"/>
      <c r="E152" s="372"/>
      <c r="F152" s="447" t="s">
        <v>255</v>
      </c>
      <c r="G152" s="122">
        <v>135063</v>
      </c>
      <c r="H152" s="122">
        <v>135063</v>
      </c>
      <c r="I152" s="122">
        <v>135063</v>
      </c>
      <c r="J152" s="122">
        <v>0</v>
      </c>
      <c r="K152" s="122">
        <f t="shared" si="2"/>
        <v>135063</v>
      </c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</row>
    <row r="153" spans="1:69" s="346" customFormat="1" ht="13.5" customHeight="1">
      <c r="A153" s="415"/>
      <c r="B153" s="347"/>
      <c r="C153" s="372"/>
      <c r="D153" s="372"/>
      <c r="E153" s="372"/>
      <c r="F153" s="448" t="s">
        <v>432</v>
      </c>
      <c r="G153" s="122">
        <v>0</v>
      </c>
      <c r="H153" s="122">
        <v>0</v>
      </c>
      <c r="I153" s="122">
        <v>0</v>
      </c>
      <c r="J153" s="122">
        <v>0</v>
      </c>
      <c r="K153" s="122">
        <f t="shared" si="2"/>
        <v>0</v>
      </c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</row>
    <row r="154" spans="1:69" s="346" customFormat="1" ht="13.5" customHeight="1">
      <c r="A154" s="666" t="s">
        <v>327</v>
      </c>
      <c r="B154" s="458" t="s">
        <v>196</v>
      </c>
      <c r="C154" s="459"/>
      <c r="D154" s="388" t="e">
        <f>SUM(D155,#REF!,#REF!,#REF!,#REF!,#REF!,D172)</f>
        <v>#REF!</v>
      </c>
      <c r="E154" s="388" t="e">
        <f>SUM(E155,#REF!,#REF!,#REF!,#REF!,#REF!,E172)</f>
        <v>#REF!</v>
      </c>
      <c r="F154" s="388"/>
      <c r="G154" s="460">
        <f>SUM(G155,G156,G161)</f>
        <v>0</v>
      </c>
      <c r="H154" s="460">
        <f>SUM(H155,H156,H161)</f>
        <v>520</v>
      </c>
      <c r="I154" s="460">
        <f>SUM(I155,I156,I161)</f>
        <v>619</v>
      </c>
      <c r="J154" s="461">
        <f>SUM(J155,J156,J161)</f>
        <v>0</v>
      </c>
      <c r="K154" s="311">
        <f t="shared" si="2"/>
        <v>619</v>
      </c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</row>
    <row r="155" spans="1:69" s="346" customFormat="1" ht="13.5" customHeight="1">
      <c r="A155" s="415"/>
      <c r="B155" s="416"/>
      <c r="C155" s="348" t="s">
        <v>130</v>
      </c>
      <c r="D155" s="417">
        <v>211132</v>
      </c>
      <c r="E155" s="418">
        <v>223678</v>
      </c>
      <c r="F155" s="462"/>
      <c r="G155" s="122">
        <v>0</v>
      </c>
      <c r="H155" s="122">
        <v>0</v>
      </c>
      <c r="I155" s="122">
        <v>180</v>
      </c>
      <c r="J155" s="122">
        <v>0</v>
      </c>
      <c r="K155" s="122">
        <f t="shared" si="2"/>
        <v>180</v>
      </c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</row>
    <row r="156" spans="1:69" s="346" customFormat="1" ht="13.5" customHeight="1">
      <c r="A156" s="463"/>
      <c r="B156" s="347"/>
      <c r="C156" s="348" t="s">
        <v>131</v>
      </c>
      <c r="D156" s="409">
        <f>SUM(D161:D161)</f>
        <v>0</v>
      </c>
      <c r="E156" s="410">
        <f>SUM(E161:E161)</f>
        <v>0</v>
      </c>
      <c r="F156" s="464"/>
      <c r="G156" s="378">
        <f>SUM(G157:G160)</f>
        <v>0</v>
      </c>
      <c r="H156" s="378">
        <f>SUM(H157:H160)</f>
        <v>0</v>
      </c>
      <c r="I156" s="378">
        <f>SUM(I157:I160)</f>
        <v>53</v>
      </c>
      <c r="J156" s="378">
        <f>SUM(J157:J160)</f>
        <v>0</v>
      </c>
      <c r="K156" s="122">
        <f t="shared" si="2"/>
        <v>53</v>
      </c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</row>
    <row r="157" spans="1:69" s="346" customFormat="1" ht="13.5" customHeight="1">
      <c r="A157" s="463"/>
      <c r="B157" s="347"/>
      <c r="C157" s="348"/>
      <c r="D157" s="409"/>
      <c r="E157" s="410"/>
      <c r="F157" s="338" t="s">
        <v>308</v>
      </c>
      <c r="G157" s="378">
        <v>0</v>
      </c>
      <c r="H157" s="378">
        <v>0</v>
      </c>
      <c r="I157" s="378">
        <v>52</v>
      </c>
      <c r="J157" s="378">
        <v>0</v>
      </c>
      <c r="K157" s="122">
        <f t="shared" si="2"/>
        <v>52</v>
      </c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</row>
    <row r="158" spans="1:69" s="346" customFormat="1" ht="13.5" customHeight="1">
      <c r="A158" s="463"/>
      <c r="B158" s="347"/>
      <c r="C158" s="348"/>
      <c r="D158" s="409"/>
      <c r="E158" s="410"/>
      <c r="F158" s="338" t="s">
        <v>67</v>
      </c>
      <c r="G158" s="378">
        <v>0</v>
      </c>
      <c r="H158" s="378">
        <v>0</v>
      </c>
      <c r="I158" s="378">
        <v>1</v>
      </c>
      <c r="J158" s="378">
        <v>0</v>
      </c>
      <c r="K158" s="122">
        <f t="shared" si="2"/>
        <v>1</v>
      </c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</row>
    <row r="159" spans="1:69" s="346" customFormat="1" ht="13.5" customHeight="1">
      <c r="A159" s="463"/>
      <c r="B159" s="347"/>
      <c r="C159" s="348"/>
      <c r="D159" s="409"/>
      <c r="E159" s="410"/>
      <c r="F159" s="338" t="s">
        <v>68</v>
      </c>
      <c r="G159" s="378">
        <v>0</v>
      </c>
      <c r="H159" s="378">
        <v>0</v>
      </c>
      <c r="I159" s="378">
        <v>0</v>
      </c>
      <c r="J159" s="378">
        <v>0</v>
      </c>
      <c r="K159" s="122">
        <f t="shared" si="2"/>
        <v>0</v>
      </c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</row>
    <row r="160" spans="1:69" s="346" customFormat="1" ht="13.5" customHeight="1">
      <c r="A160" s="463"/>
      <c r="B160" s="347"/>
      <c r="C160" s="348"/>
      <c r="D160" s="409"/>
      <c r="E160" s="410"/>
      <c r="F160" s="338" t="s">
        <v>307</v>
      </c>
      <c r="G160" s="378">
        <v>0</v>
      </c>
      <c r="H160" s="378">
        <v>0</v>
      </c>
      <c r="I160" s="378">
        <v>0</v>
      </c>
      <c r="J160" s="378">
        <v>0</v>
      </c>
      <c r="K160" s="122">
        <f t="shared" si="2"/>
        <v>0</v>
      </c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</row>
    <row r="161" spans="1:69" s="346" customFormat="1" ht="13.5" customHeight="1">
      <c r="A161" s="463"/>
      <c r="B161" s="347"/>
      <c r="C161" s="348" t="s">
        <v>132</v>
      </c>
      <c r="D161" s="417"/>
      <c r="E161" s="418"/>
      <c r="F161" s="462"/>
      <c r="G161" s="122">
        <v>0</v>
      </c>
      <c r="H161" s="122">
        <v>520</v>
      </c>
      <c r="I161" s="122">
        <v>386</v>
      </c>
      <c r="J161" s="122">
        <v>0</v>
      </c>
      <c r="K161" s="122">
        <f t="shared" si="2"/>
        <v>386</v>
      </c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</row>
    <row r="162" spans="1:69" s="346" customFormat="1" ht="13.5" customHeight="1">
      <c r="A162" s="465" t="s">
        <v>331</v>
      </c>
      <c r="B162" s="458" t="s">
        <v>213</v>
      </c>
      <c r="C162" s="459"/>
      <c r="D162" s="388" t="e">
        <f>SUM(D163,#REF!,#REF!,#REF!,#REF!,#REF!,D180)</f>
        <v>#REF!</v>
      </c>
      <c r="E162" s="388" t="e">
        <f>SUM(E163,#REF!,#REF!,#REF!,#REF!,#REF!,E180)</f>
        <v>#REF!</v>
      </c>
      <c r="F162" s="388"/>
      <c r="G162" s="460">
        <f>SUM(G163,G164,G169)</f>
        <v>0</v>
      </c>
      <c r="H162" s="460">
        <f>SUM(H163,H164,H169)</f>
        <v>0</v>
      </c>
      <c r="I162" s="460">
        <f>SUM(I163,I164,I169)</f>
        <v>11659</v>
      </c>
      <c r="J162" s="461">
        <f>SUM(J163,J164,J169)</f>
        <v>0</v>
      </c>
      <c r="K162" s="311">
        <f t="shared" si="2"/>
        <v>11659</v>
      </c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</row>
    <row r="163" spans="1:69" s="346" customFormat="1" ht="13.5" customHeight="1">
      <c r="A163" s="463"/>
      <c r="B163" s="416"/>
      <c r="C163" s="348" t="s">
        <v>130</v>
      </c>
      <c r="D163" s="417">
        <v>211132</v>
      </c>
      <c r="E163" s="418">
        <v>223678</v>
      </c>
      <c r="F163" s="462"/>
      <c r="G163" s="122">
        <v>0</v>
      </c>
      <c r="H163" s="122">
        <v>0</v>
      </c>
      <c r="I163" s="122">
        <v>4605</v>
      </c>
      <c r="J163" s="122">
        <v>0</v>
      </c>
      <c r="K163" s="122">
        <f t="shared" si="2"/>
        <v>4605</v>
      </c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</row>
    <row r="164" spans="1:69" s="346" customFormat="1" ht="13.5" customHeight="1">
      <c r="A164" s="463"/>
      <c r="B164" s="347"/>
      <c r="C164" s="348" t="s">
        <v>131</v>
      </c>
      <c r="D164" s="409">
        <f>SUM(D169:D169)</f>
        <v>0</v>
      </c>
      <c r="E164" s="410">
        <f>SUM(E169:E169)</f>
        <v>0</v>
      </c>
      <c r="F164" s="464"/>
      <c r="G164" s="378">
        <f>SUM(G165:G168)</f>
        <v>0</v>
      </c>
      <c r="H164" s="378">
        <f>SUM(H165:H168)</f>
        <v>0</v>
      </c>
      <c r="I164" s="378">
        <f>SUM(I165:I168)</f>
        <v>1384</v>
      </c>
      <c r="J164" s="378">
        <f>SUM(J165:J168)</f>
        <v>0</v>
      </c>
      <c r="K164" s="122">
        <f t="shared" si="2"/>
        <v>1384</v>
      </c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</row>
    <row r="165" spans="1:69" s="346" customFormat="1" ht="13.5" customHeight="1">
      <c r="A165" s="463"/>
      <c r="B165" s="347"/>
      <c r="C165" s="348"/>
      <c r="D165" s="409"/>
      <c r="E165" s="410"/>
      <c r="F165" s="338" t="s">
        <v>308</v>
      </c>
      <c r="G165" s="378">
        <v>0</v>
      </c>
      <c r="H165" s="378">
        <v>0</v>
      </c>
      <c r="I165" s="378">
        <v>1335</v>
      </c>
      <c r="J165" s="378">
        <v>0</v>
      </c>
      <c r="K165" s="122">
        <f t="shared" si="2"/>
        <v>1335</v>
      </c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</row>
    <row r="166" spans="1:69" s="346" customFormat="1" ht="13.5" customHeight="1">
      <c r="A166" s="463"/>
      <c r="B166" s="347"/>
      <c r="C166" s="348"/>
      <c r="D166" s="409"/>
      <c r="E166" s="410"/>
      <c r="F166" s="338" t="s">
        <v>67</v>
      </c>
      <c r="G166" s="378">
        <v>0</v>
      </c>
      <c r="H166" s="378">
        <v>0</v>
      </c>
      <c r="I166" s="378">
        <v>43</v>
      </c>
      <c r="J166" s="378">
        <v>0</v>
      </c>
      <c r="K166" s="122">
        <f t="shared" si="2"/>
        <v>43</v>
      </c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</row>
    <row r="167" spans="1:69" s="346" customFormat="1" ht="13.5" customHeight="1">
      <c r="A167" s="463"/>
      <c r="B167" s="347"/>
      <c r="C167" s="348"/>
      <c r="D167" s="409"/>
      <c r="E167" s="410"/>
      <c r="F167" s="338" t="s">
        <v>68</v>
      </c>
      <c r="G167" s="378">
        <v>0</v>
      </c>
      <c r="H167" s="378">
        <v>0</v>
      </c>
      <c r="I167" s="378">
        <v>6</v>
      </c>
      <c r="J167" s="378">
        <v>0</v>
      </c>
      <c r="K167" s="122">
        <f t="shared" si="2"/>
        <v>6</v>
      </c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</row>
    <row r="168" spans="1:69" s="346" customFormat="1" ht="13.5" customHeight="1">
      <c r="A168" s="463"/>
      <c r="B168" s="347"/>
      <c r="C168" s="348"/>
      <c r="D168" s="409"/>
      <c r="E168" s="410"/>
      <c r="F168" s="338" t="s">
        <v>307</v>
      </c>
      <c r="G168" s="378">
        <v>0</v>
      </c>
      <c r="H168" s="378">
        <v>0</v>
      </c>
      <c r="I168" s="378">
        <v>0</v>
      </c>
      <c r="J168" s="378">
        <v>0</v>
      </c>
      <c r="K168" s="122">
        <f t="shared" si="2"/>
        <v>0</v>
      </c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</row>
    <row r="169" spans="1:69" s="346" customFormat="1" ht="13.5" customHeight="1">
      <c r="A169" s="463"/>
      <c r="B169" s="347"/>
      <c r="C169" s="348" t="s">
        <v>132</v>
      </c>
      <c r="D169" s="417"/>
      <c r="E169" s="418"/>
      <c r="F169" s="462"/>
      <c r="G169" s="122">
        <v>0</v>
      </c>
      <c r="H169" s="122">
        <v>0</v>
      </c>
      <c r="I169" s="122">
        <v>5670</v>
      </c>
      <c r="J169" s="122">
        <v>0</v>
      </c>
      <c r="K169" s="122">
        <f t="shared" si="2"/>
        <v>5670</v>
      </c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</row>
    <row r="170" spans="1:69" s="346" customFormat="1" ht="13.5" customHeight="1">
      <c r="A170" s="295" t="s">
        <v>333</v>
      </c>
      <c r="B170" s="466" t="s">
        <v>200</v>
      </c>
      <c r="C170" s="414"/>
      <c r="D170" s="368" t="e">
        <f>SUM(D171,D173,#REF!,#REF!,D183,D186,D187)</f>
        <v>#REF!</v>
      </c>
      <c r="E170" s="368" t="e">
        <f>SUM(E171,E173,#REF!,#REF!,E183,E186,E187)</f>
        <v>#REF!</v>
      </c>
      <c r="F170" s="368"/>
      <c r="G170" s="467">
        <f>SUM(G171)</f>
        <v>7171759</v>
      </c>
      <c r="H170" s="467">
        <f>SUM(H171)</f>
        <v>7932503</v>
      </c>
      <c r="I170" s="467">
        <f>SUM(I171)</f>
        <v>7939942</v>
      </c>
      <c r="J170" s="468">
        <f>SUM(J171)</f>
        <v>584681</v>
      </c>
      <c r="K170" s="311">
        <f t="shared" si="2"/>
        <v>8524623</v>
      </c>
      <c r="L170" s="365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</row>
    <row r="171" spans="1:69" s="346" customFormat="1" ht="13.5" customHeight="1">
      <c r="A171" s="435"/>
      <c r="B171" s="347"/>
      <c r="C171" s="449" t="s">
        <v>401</v>
      </c>
      <c r="D171" s="417"/>
      <c r="E171" s="418"/>
      <c r="F171" s="462"/>
      <c r="G171" s="469">
        <f>SUM('3.számú melléklet'!C47)</f>
        <v>7171759</v>
      </c>
      <c r="H171" s="469">
        <f>SUM('3.számú melléklet'!D47)</f>
        <v>7932503</v>
      </c>
      <c r="I171" s="469">
        <f>SUM('3.számú melléklet'!E47)</f>
        <v>7939942</v>
      </c>
      <c r="J171" s="469">
        <f>SUM('3.számú melléklet'!F47)</f>
        <v>584681</v>
      </c>
      <c r="K171" s="122">
        <f t="shared" si="2"/>
        <v>8524623</v>
      </c>
      <c r="L171" s="470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</row>
    <row r="172" spans="1:69" s="305" customFormat="1" ht="13.5" customHeight="1">
      <c r="A172" s="667" t="s">
        <v>334</v>
      </c>
      <c r="B172" s="466" t="s">
        <v>165</v>
      </c>
      <c r="C172" s="471"/>
      <c r="D172" s="472" t="e">
        <f>SUM(D173,D174,#REF!,D182,D183,D184,D186)</f>
        <v>#REF!</v>
      </c>
      <c r="E172" s="472" t="e">
        <f>SUM(E173,E174,#REF!,E182,E183,E184,E186)</f>
        <v>#REF!</v>
      </c>
      <c r="F172" s="473"/>
      <c r="G172" s="473">
        <f>SUM(G173,G175,G182,G183,G186,G191,G192,G193:G199,G200,G204,G210,G213,G217,G221)</f>
        <v>15614497</v>
      </c>
      <c r="H172" s="473">
        <f>SUM(H173,H175,H182,H183,H186,H191,H192,H193:H199,H200,H204,H210,H213,H217,H221)</f>
        <v>21223310</v>
      </c>
      <c r="I172" s="473">
        <f>SUM(I173,I175,I182,I183,I186,I191,I192,I193:I199,I200,I204,I210,I213,I217,I221)</f>
        <v>21604802</v>
      </c>
      <c r="J172" s="473">
        <f>SUM(J173,J175,J182,J183,J186,J191,J192,J193:J199,J200,J204,J210,J213,J217,J221)</f>
        <v>125669</v>
      </c>
      <c r="K172" s="368">
        <f>SUM(K173,K175,K182,K183,K186,K191,K192,K193:K199,K200,K204,K210,K213,K217,K221)</f>
        <v>21730471</v>
      </c>
      <c r="L172" s="474"/>
      <c r="M172" s="303"/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304"/>
      <c r="AQ172" s="304"/>
      <c r="AR172" s="304"/>
      <c r="AS172" s="304"/>
      <c r="AT172" s="304"/>
      <c r="AU172" s="304"/>
      <c r="AV172" s="304"/>
      <c r="AW172" s="304"/>
      <c r="AX172" s="304"/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4"/>
      <c r="BN172" s="304"/>
      <c r="BO172" s="304"/>
      <c r="BP172" s="304"/>
      <c r="BQ172" s="304"/>
    </row>
    <row r="173" spans="1:11" ht="13.5" customHeight="1">
      <c r="A173" s="421"/>
      <c r="B173" s="393"/>
      <c r="C173" s="348" t="s">
        <v>130</v>
      </c>
      <c r="D173" s="409" t="e">
        <f>SUM(D108,#REF!,#REF!,D94,#REF!,#REF!,#REF!,D25,#REF!,#REF!)</f>
        <v>#REF!</v>
      </c>
      <c r="E173" s="409" t="e">
        <f>SUM(E25,#REF!,#REF!,E94,#REF!,#REF!,E108)</f>
        <v>#REF!</v>
      </c>
      <c r="F173" s="475"/>
      <c r="G173" s="373">
        <f>SUM(G25,G94,G108,G155,G163)</f>
        <v>813710</v>
      </c>
      <c r="H173" s="373">
        <f>SUM(H25,H94,H108,H155,H163)</f>
        <v>847533</v>
      </c>
      <c r="I173" s="373">
        <f>SUM(I25,I94,I108,I155,I163)</f>
        <v>865323</v>
      </c>
      <c r="J173" s="373">
        <f>SUM(J25,J94,J108,J155,J163)</f>
        <v>15316</v>
      </c>
      <c r="K173" s="373">
        <f>SUM(K25,K94,K108,K155,K163)</f>
        <v>880639</v>
      </c>
    </row>
    <row r="174" spans="1:11" ht="13.5" customHeight="1">
      <c r="A174" s="421"/>
      <c r="B174" s="347"/>
      <c r="C174" s="392"/>
      <c r="D174" s="409" t="e">
        <f>SUM(D175:D176)</f>
        <v>#REF!</v>
      </c>
      <c r="E174" s="409" t="e">
        <f>SUM(E175:E176)</f>
        <v>#REF!</v>
      </c>
      <c r="F174" s="476" t="s">
        <v>387</v>
      </c>
      <c r="G174" s="375">
        <f>SUM(G109)</f>
        <v>71039</v>
      </c>
      <c r="H174" s="375">
        <f>SUM(H109)</f>
        <v>71039</v>
      </c>
      <c r="I174" s="375">
        <f>SUM(I109)</f>
        <v>71039</v>
      </c>
      <c r="J174" s="375">
        <f>SUM(J109)</f>
        <v>0</v>
      </c>
      <c r="K174" s="486">
        <f>SUM(K109)</f>
        <v>71039</v>
      </c>
    </row>
    <row r="175" spans="1:11" ht="13.5" customHeight="1">
      <c r="A175" s="421"/>
      <c r="B175" s="393"/>
      <c r="C175" s="348" t="s">
        <v>131</v>
      </c>
      <c r="D175" s="409" t="e">
        <f>SUM(#REF!,#REF!,#REF!,#REF!,#REF!,#REF!,D61,#REF!,#REF!,#REF!,#REF!,#REF!)</f>
        <v>#REF!</v>
      </c>
      <c r="E175" s="409" t="e">
        <f>SUM(#REF!,#REF!,#REF!,E61,#REF!,#REF!,#REF!,#REF!,#REF!)</f>
        <v>#REF!</v>
      </c>
      <c r="F175" s="475"/>
      <c r="G175" s="373">
        <f>SUM(G177:G181)</f>
        <v>270123</v>
      </c>
      <c r="H175" s="373">
        <f>SUM(H177:H181)</f>
        <v>280857</v>
      </c>
      <c r="I175" s="373">
        <f>SUM(I177:I181)</f>
        <v>286128</v>
      </c>
      <c r="J175" s="373">
        <f>SUM(J177:J181)</f>
        <v>4900</v>
      </c>
      <c r="K175" s="373">
        <f>SUM(K177:K181)</f>
        <v>291028</v>
      </c>
    </row>
    <row r="176" spans="1:11" ht="13.5" customHeight="1">
      <c r="A176" s="421"/>
      <c r="B176" s="347"/>
      <c r="C176" s="392"/>
      <c r="D176" s="409" t="e">
        <f>SUM(#REF!,#REF!,#REF!,#REF!,#REF!,#REF!,#REF!,#REF!)</f>
        <v>#REF!</v>
      </c>
      <c r="E176" s="409" t="e">
        <f>SUM(#REF!,#REF!,#REF!,#REF!,#REF!,#REF!,#REF!)</f>
        <v>#REF!</v>
      </c>
      <c r="F176" s="476" t="s">
        <v>387</v>
      </c>
      <c r="G176" s="375">
        <f>SUM(G111)</f>
        <v>21186</v>
      </c>
      <c r="H176" s="375">
        <f>SUM(H111)</f>
        <v>21186</v>
      </c>
      <c r="I176" s="375">
        <f>SUM(I111)</f>
        <v>21186</v>
      </c>
      <c r="J176" s="375">
        <f>SUM(J111)</f>
        <v>0</v>
      </c>
      <c r="K176" s="486">
        <f>SUM(K111)</f>
        <v>21186</v>
      </c>
    </row>
    <row r="177" spans="1:11" ht="13.5" customHeight="1">
      <c r="A177" s="421"/>
      <c r="B177" s="347"/>
      <c r="C177" s="392"/>
      <c r="D177" s="409"/>
      <c r="E177" s="409"/>
      <c r="F177" s="338" t="s">
        <v>308</v>
      </c>
      <c r="G177" s="373">
        <f aca="true" t="shared" si="3" ref="G177:K180">SUM(G27,G96,G112,G157,G165)</f>
        <v>217953</v>
      </c>
      <c r="H177" s="373">
        <f t="shared" si="3"/>
        <v>227745</v>
      </c>
      <c r="I177" s="373">
        <f t="shared" si="3"/>
        <v>232769</v>
      </c>
      <c r="J177" s="373">
        <f t="shared" si="3"/>
        <v>4442</v>
      </c>
      <c r="K177" s="373">
        <f t="shared" si="3"/>
        <v>237211</v>
      </c>
    </row>
    <row r="178" spans="1:11" ht="13.5" customHeight="1">
      <c r="A178" s="421"/>
      <c r="B178" s="347"/>
      <c r="C178" s="392"/>
      <c r="D178" s="409"/>
      <c r="E178" s="409"/>
      <c r="F178" s="338" t="s">
        <v>67</v>
      </c>
      <c r="G178" s="373">
        <f t="shared" si="3"/>
        <v>19734</v>
      </c>
      <c r="H178" s="373">
        <f t="shared" si="3"/>
        <v>20748</v>
      </c>
      <c r="I178" s="373">
        <f t="shared" si="3"/>
        <v>20986</v>
      </c>
      <c r="J178" s="373">
        <f t="shared" si="3"/>
        <v>458</v>
      </c>
      <c r="K178" s="373">
        <f t="shared" si="3"/>
        <v>21444</v>
      </c>
    </row>
    <row r="179" spans="1:11" ht="13.5" customHeight="1">
      <c r="A179" s="421"/>
      <c r="B179" s="347"/>
      <c r="C179" s="392"/>
      <c r="D179" s="409"/>
      <c r="E179" s="409"/>
      <c r="F179" s="338" t="s">
        <v>68</v>
      </c>
      <c r="G179" s="373">
        <f t="shared" si="3"/>
        <v>6216</v>
      </c>
      <c r="H179" s="373">
        <f t="shared" si="3"/>
        <v>6144</v>
      </c>
      <c r="I179" s="373">
        <f t="shared" si="3"/>
        <v>6153</v>
      </c>
      <c r="J179" s="373">
        <f t="shared" si="3"/>
        <v>0</v>
      </c>
      <c r="K179" s="373">
        <f t="shared" si="3"/>
        <v>6153</v>
      </c>
    </row>
    <row r="180" spans="1:11" ht="13.5" customHeight="1">
      <c r="A180" s="421"/>
      <c r="B180" s="347"/>
      <c r="C180" s="392"/>
      <c r="D180" s="409"/>
      <c r="E180" s="409"/>
      <c r="F180" s="338" t="s">
        <v>307</v>
      </c>
      <c r="G180" s="373">
        <f t="shared" si="3"/>
        <v>2820</v>
      </c>
      <c r="H180" s="373">
        <f t="shared" si="3"/>
        <v>2820</v>
      </c>
      <c r="I180" s="373">
        <f t="shared" si="3"/>
        <v>2820</v>
      </c>
      <c r="J180" s="373">
        <f t="shared" si="3"/>
        <v>0</v>
      </c>
      <c r="K180" s="373">
        <f t="shared" si="3"/>
        <v>2820</v>
      </c>
    </row>
    <row r="181" spans="1:11" ht="13.5" customHeight="1">
      <c r="A181" s="421"/>
      <c r="B181" s="347"/>
      <c r="C181" s="392"/>
      <c r="D181" s="409"/>
      <c r="E181" s="409"/>
      <c r="F181" s="477" t="s">
        <v>136</v>
      </c>
      <c r="G181" s="373">
        <f>SUM(G61,G64)</f>
        <v>23400</v>
      </c>
      <c r="H181" s="373">
        <f>SUM(H61,H64)</f>
        <v>23400</v>
      </c>
      <c r="I181" s="373">
        <f>SUM(I61,I64)</f>
        <v>23400</v>
      </c>
      <c r="J181" s="373">
        <f>SUM(J61,J64)</f>
        <v>0</v>
      </c>
      <c r="K181" s="373">
        <f>SUM(K61,K64)</f>
        <v>23400</v>
      </c>
    </row>
    <row r="182" spans="1:11" ht="13.5" customHeight="1">
      <c r="A182" s="421"/>
      <c r="B182" s="393"/>
      <c r="C182" s="348" t="s">
        <v>132</v>
      </c>
      <c r="D182" s="409" t="e">
        <f>SUM(#REF!,#REF!,D101,#REF!,D36,#REF!,#REF!)</f>
        <v>#REF!</v>
      </c>
      <c r="E182" s="409" t="e">
        <f>SUM(#REF!)</f>
        <v>#REF!</v>
      </c>
      <c r="F182" s="475"/>
      <c r="G182" s="373">
        <f>SUM(G8,G14,G22,G31,G34,G39,G44,G53,G78,G88,G100,G116,G161,G169)</f>
        <v>2671665</v>
      </c>
      <c r="H182" s="373">
        <f>SUM(H8,H14,H22,H31,H34,H39,H44,H53,H78,H88,H100,H116,H161,H169)</f>
        <v>3012767</v>
      </c>
      <c r="I182" s="373">
        <f>SUM(I8,I14,I22,I31,I34,I39,I44,I53,I78,I88,I100,I116,I161,I169)</f>
        <v>3200153</v>
      </c>
      <c r="J182" s="373">
        <f>SUM(J8,J14,J22,J31,J34,J39,J44,J53,J78,J88,J100,J116,J161,J169)</f>
        <v>95730</v>
      </c>
      <c r="K182" s="373">
        <f>SUM(K8,K14,K22,K31,K34,K39,K44,K53,K78,K88,K100,K116,K161,K169)</f>
        <v>3295883</v>
      </c>
    </row>
    <row r="183" spans="1:11" ht="13.5" customHeight="1">
      <c r="A183" s="421"/>
      <c r="B183" s="393"/>
      <c r="C183" s="348" t="s">
        <v>235</v>
      </c>
      <c r="D183" s="409" t="e">
        <f>D118+#REF!</f>
        <v>#REF!</v>
      </c>
      <c r="E183" s="409" t="e">
        <f>E118+#REF!+E36+#REF!+E101+#REF!</f>
        <v>#REF!</v>
      </c>
      <c r="F183" s="475"/>
      <c r="G183" s="475">
        <f>SUM(G101,G117,G89)</f>
        <v>120170</v>
      </c>
      <c r="H183" s="475">
        <f>SUM(H101,H117,H89)</f>
        <v>359981</v>
      </c>
      <c r="I183" s="475">
        <f>SUM(I101,I117,I89)</f>
        <v>360236</v>
      </c>
      <c r="J183" s="475">
        <f>SUM(J101,J117,J89)</f>
        <v>50</v>
      </c>
      <c r="K183" s="373">
        <f>SUM(K101,K117,K89)</f>
        <v>360286</v>
      </c>
    </row>
    <row r="184" spans="1:11" ht="13.5" customHeight="1">
      <c r="A184" s="422"/>
      <c r="B184" s="423"/>
      <c r="C184" s="478"/>
      <c r="D184" s="479" t="e">
        <f>D54+#REF!+D62+#REF!+#REF!+D79+#REF!+D121+#REF!+D76</f>
        <v>#REF!</v>
      </c>
      <c r="E184" s="479" t="e">
        <f>E54+#REF!+E62+#REF!+#REF!+E79+#REF!+E121+#REF!+E76</f>
        <v>#REF!</v>
      </c>
      <c r="F184" s="480" t="s">
        <v>245</v>
      </c>
      <c r="G184" s="481">
        <f>SUM(G101,G118,G89)</f>
        <v>120170</v>
      </c>
      <c r="H184" s="481">
        <f>SUM(H101,H118,H89)</f>
        <v>359981</v>
      </c>
      <c r="I184" s="481">
        <f>SUM(I101,I118,I89)</f>
        <v>360236</v>
      </c>
      <c r="J184" s="481">
        <f>SUM(J101,J118,J89)</f>
        <v>50</v>
      </c>
      <c r="K184" s="481">
        <f>SUM(K101,K118,K89)</f>
        <v>360286</v>
      </c>
    </row>
    <row r="185" spans="1:11" ht="13.5" customHeight="1">
      <c r="A185" s="427"/>
      <c r="B185" s="428"/>
      <c r="C185" s="482"/>
      <c r="D185" s="483"/>
      <c r="E185" s="483"/>
      <c r="F185" s="484" t="s">
        <v>288</v>
      </c>
      <c r="G185" s="485">
        <f>SUM(G119)</f>
        <v>0</v>
      </c>
      <c r="H185" s="485">
        <f>SUM(H119)</f>
        <v>239811</v>
      </c>
      <c r="I185" s="485">
        <f>SUM(I119)</f>
        <v>239811</v>
      </c>
      <c r="J185" s="485">
        <f>SUM(J119)</f>
        <v>0</v>
      </c>
      <c r="K185" s="485">
        <f>SUM(K119)</f>
        <v>239811</v>
      </c>
    </row>
    <row r="186" spans="1:11" ht="13.5" customHeight="1">
      <c r="A186" s="421"/>
      <c r="B186" s="393"/>
      <c r="C186" s="348" t="s">
        <v>274</v>
      </c>
      <c r="D186" s="409" t="e">
        <f>SUM(D187:D220)</f>
        <v>#REF!</v>
      </c>
      <c r="E186" s="409" t="e">
        <f>SUM(E187:E220)</f>
        <v>#REF!</v>
      </c>
      <c r="F186" s="475"/>
      <c r="G186" s="486">
        <f>SUM(G187:G190)</f>
        <v>378456</v>
      </c>
      <c r="H186" s="486">
        <f>SUM(H187:H190)</f>
        <v>460258</v>
      </c>
      <c r="I186" s="486">
        <f>SUM(I187:I190)</f>
        <v>465165</v>
      </c>
      <c r="J186" s="486">
        <f>SUM(J187:J190)</f>
        <v>440</v>
      </c>
      <c r="K186" s="486">
        <f>SUM(K187:K190)</f>
        <v>465605</v>
      </c>
    </row>
    <row r="187" spans="1:11" ht="13.5" customHeight="1">
      <c r="A187" s="421"/>
      <c r="B187" s="347"/>
      <c r="C187" s="392"/>
      <c r="D187" s="409" t="e">
        <f>SUM(D123,#REF!,D105,#REF!,#REF!,#REF!,D32)</f>
        <v>#REF!</v>
      </c>
      <c r="E187" s="409" t="e">
        <f>SUM(E123,E32,#REF!,#REF!)</f>
        <v>#REF!</v>
      </c>
      <c r="F187" s="402" t="s">
        <v>243</v>
      </c>
      <c r="G187" s="373">
        <f>SUM(G103,G121,G91)</f>
        <v>81285</v>
      </c>
      <c r="H187" s="373">
        <f>SUM(H103,H121,H91)</f>
        <v>94719</v>
      </c>
      <c r="I187" s="373">
        <f>SUM(I103,I121,I91)</f>
        <v>98263</v>
      </c>
      <c r="J187" s="373">
        <f>SUM(J103,J121,J91)</f>
        <v>440</v>
      </c>
      <c r="K187" s="373">
        <f>SUM(K103,K121,K91)</f>
        <v>98703</v>
      </c>
    </row>
    <row r="188" spans="1:11" ht="13.5" customHeight="1">
      <c r="A188" s="421"/>
      <c r="B188" s="347"/>
      <c r="C188" s="392"/>
      <c r="D188" s="409" t="e">
        <f>#REF!+D125</f>
        <v>#REF!</v>
      </c>
      <c r="E188" s="409" t="e">
        <f>SUM(E125,#REF!)</f>
        <v>#REF!</v>
      </c>
      <c r="F188" s="402" t="s">
        <v>233</v>
      </c>
      <c r="G188" s="475">
        <f>SUM(G122,G9,G92,G23,G35,G45)</f>
        <v>297171</v>
      </c>
      <c r="H188" s="475">
        <f>SUM(H122,H9,H92,H23,H35,H45)</f>
        <v>365539</v>
      </c>
      <c r="I188" s="475">
        <f>SUM(I122,I9,I92,I23,I35,I45)</f>
        <v>366902</v>
      </c>
      <c r="J188" s="475">
        <f>SUM(J122,J9,J92,J23,J35,J45)</f>
        <v>0</v>
      </c>
      <c r="K188" s="373">
        <f>SUM(K122,K9,K92,K23,K35,K45)</f>
        <v>366902</v>
      </c>
    </row>
    <row r="189" spans="1:11" ht="13.5" customHeight="1">
      <c r="A189" s="421"/>
      <c r="B189" s="435"/>
      <c r="C189" s="392"/>
      <c r="D189" s="409" t="e">
        <f>SUM(#REF!)</f>
        <v>#REF!</v>
      </c>
      <c r="E189" s="409" t="e">
        <f>SUM(#REF!)</f>
        <v>#REF!</v>
      </c>
      <c r="F189" s="402" t="s">
        <v>244</v>
      </c>
      <c r="G189" s="475">
        <f>SUM(G123,G104)</f>
        <v>0</v>
      </c>
      <c r="H189" s="475">
        <f>SUM(H123,H104)</f>
        <v>0</v>
      </c>
      <c r="I189" s="475">
        <f>SUM(I123,I104)</f>
        <v>0</v>
      </c>
      <c r="J189" s="475">
        <f>SUM(J123,J104)</f>
        <v>0</v>
      </c>
      <c r="K189" s="373">
        <f>SUM(K123,K104)</f>
        <v>0</v>
      </c>
    </row>
    <row r="190" spans="1:11" ht="13.5" customHeight="1">
      <c r="A190" s="421"/>
      <c r="B190" s="435"/>
      <c r="C190" s="392"/>
      <c r="D190" s="409"/>
      <c r="E190" s="409"/>
      <c r="F190" s="402" t="s">
        <v>426</v>
      </c>
      <c r="G190" s="475">
        <f>SUM(G124)</f>
        <v>0</v>
      </c>
      <c r="H190" s="475">
        <f>SUM(H124)</f>
        <v>0</v>
      </c>
      <c r="I190" s="475">
        <f>SUM(I124)</f>
        <v>0</v>
      </c>
      <c r="J190" s="475">
        <f>SUM(J124)</f>
        <v>0</v>
      </c>
      <c r="K190" s="373">
        <f>SUM(K124)</f>
        <v>0</v>
      </c>
    </row>
    <row r="191" spans="1:11" ht="13.5" customHeight="1">
      <c r="A191" s="415"/>
      <c r="B191" s="393"/>
      <c r="C191" s="348" t="s">
        <v>76</v>
      </c>
      <c r="D191" s="409"/>
      <c r="E191" s="409"/>
      <c r="F191" s="475"/>
      <c r="G191" s="486">
        <f>SUM(G54:G59,G62,G65,G66,G67,G68,G70,G71,G72,G73,G75,G76,G79,G80,G81,G84,G86,G125)</f>
        <v>572977</v>
      </c>
      <c r="H191" s="486">
        <f>SUM(H54:H59,H62,H65,H66,H67,H68,H70,H71,H72,H73,H75,H76,H79,H80,H81,H84,H86,H125)</f>
        <v>575420</v>
      </c>
      <c r="I191" s="486">
        <f>SUM(I54:I59,I62,I65,I66,I67,I68,I70,I71,I72,I73,I75,I76,I79,I80,I81,I84,I86,I125)</f>
        <v>592511</v>
      </c>
      <c r="J191" s="486">
        <f>SUM(J54:J59,J62,J65,J66,J67,J68,J70,J71,J72,J73,J75,J76,J79,J80,J81,J84,J86,J125)</f>
        <v>826</v>
      </c>
      <c r="K191" s="486">
        <f>SUM(K54:K59,K62,K65,K66,K67,K68,K70,K71,K72,K73,K75,K76,K79,K80,K81,K84,K86,K125)</f>
        <v>593337</v>
      </c>
    </row>
    <row r="192" spans="1:11" ht="13.5" customHeight="1">
      <c r="A192" s="421"/>
      <c r="B192" s="393"/>
      <c r="C192" s="348" t="s">
        <v>148</v>
      </c>
      <c r="D192" s="409"/>
      <c r="E192" s="409"/>
      <c r="F192" s="475"/>
      <c r="G192" s="487">
        <f>SUM(G85,G82)</f>
        <v>32965</v>
      </c>
      <c r="H192" s="487">
        <f>SUM(H85,H82)</f>
        <v>32965</v>
      </c>
      <c r="I192" s="487">
        <f>SUM(I85,I82)</f>
        <v>32965</v>
      </c>
      <c r="J192" s="487">
        <f>SUM(J85,J82)</f>
        <v>0</v>
      </c>
      <c r="K192" s="486">
        <f>SUM(K85,K82)</f>
        <v>32965</v>
      </c>
    </row>
    <row r="193" spans="1:11" ht="13.5" customHeight="1">
      <c r="A193" s="488"/>
      <c r="B193" s="393"/>
      <c r="C193" s="348" t="s">
        <v>133</v>
      </c>
      <c r="D193" s="489"/>
      <c r="E193" s="372"/>
      <c r="F193" s="490"/>
      <c r="G193" s="475">
        <f>SUM(G126)</f>
        <v>0</v>
      </c>
      <c r="H193" s="475">
        <f>SUM(H126)</f>
        <v>297682</v>
      </c>
      <c r="I193" s="475">
        <f>SUM(I126)</f>
        <v>374041</v>
      </c>
      <c r="J193" s="475">
        <f>SUM(J126)</f>
        <v>264939</v>
      </c>
      <c r="K193" s="373">
        <f>SUM(K126)</f>
        <v>638980</v>
      </c>
    </row>
    <row r="194" spans="1:11" ht="13.5" customHeight="1">
      <c r="A194" s="488"/>
      <c r="B194" s="393"/>
      <c r="C194" s="313" t="s">
        <v>343</v>
      </c>
      <c r="D194" s="489"/>
      <c r="E194" s="372"/>
      <c r="F194" s="490"/>
      <c r="G194" s="475">
        <f>SUM(G127,G46)</f>
        <v>64372</v>
      </c>
      <c r="H194" s="475">
        <f>SUM(H127,H46)</f>
        <v>176576</v>
      </c>
      <c r="I194" s="475">
        <f>SUM(I127,I46)</f>
        <v>192186</v>
      </c>
      <c r="J194" s="475">
        <f>SUM(J127,J46)</f>
        <v>1851</v>
      </c>
      <c r="K194" s="373">
        <f>SUM(K127,K46)</f>
        <v>194037</v>
      </c>
    </row>
    <row r="195" spans="1:11" ht="13.5" customHeight="1">
      <c r="A195" s="488"/>
      <c r="B195" s="393"/>
      <c r="C195" s="348" t="s">
        <v>173</v>
      </c>
      <c r="D195" s="489"/>
      <c r="E195" s="372"/>
      <c r="F195" s="490"/>
      <c r="G195" s="475">
        <f>SUM(G19)</f>
        <v>0</v>
      </c>
      <c r="H195" s="475">
        <f>SUM(H19)</f>
        <v>234182</v>
      </c>
      <c r="I195" s="475">
        <f>SUM(I19)</f>
        <v>199182</v>
      </c>
      <c r="J195" s="475">
        <f>SUM(J19)</f>
        <v>123304</v>
      </c>
      <c r="K195" s="373">
        <f>SUM(K19)</f>
        <v>322486</v>
      </c>
    </row>
    <row r="196" spans="1:11" ht="13.5" customHeight="1">
      <c r="A196" s="488"/>
      <c r="B196" s="393"/>
      <c r="C196" s="348" t="s">
        <v>172</v>
      </c>
      <c r="D196" s="489"/>
      <c r="E196" s="372"/>
      <c r="F196" s="490"/>
      <c r="G196" s="475">
        <f>SUM(G10,G128)</f>
        <v>0</v>
      </c>
      <c r="H196" s="475">
        <f>SUM(H10,H128)</f>
        <v>38897</v>
      </c>
      <c r="I196" s="475">
        <f>SUM(I10,I128)</f>
        <v>38897</v>
      </c>
      <c r="J196" s="475">
        <f>SUM(J10,J128)</f>
        <v>28000</v>
      </c>
      <c r="K196" s="373">
        <f>SUM(K10,K128)</f>
        <v>66897</v>
      </c>
    </row>
    <row r="197" spans="1:11" ht="13.5" customHeight="1">
      <c r="A197" s="488"/>
      <c r="B197" s="393"/>
      <c r="C197" s="348" t="s">
        <v>134</v>
      </c>
      <c r="D197" s="489"/>
      <c r="E197" s="372"/>
      <c r="F197" s="490"/>
      <c r="G197" s="475">
        <f>SUM(G15,G32,G105,G129,G11)</f>
        <v>50196</v>
      </c>
      <c r="H197" s="475">
        <f>SUM(H15,H32,H105,H129,H11)</f>
        <v>67362</v>
      </c>
      <c r="I197" s="475">
        <f>SUM(I15,I32,I105,I129,I11)</f>
        <v>86957</v>
      </c>
      <c r="J197" s="475">
        <f>SUM(J15,J32,J105,J129,J11)</f>
        <v>0</v>
      </c>
      <c r="K197" s="373">
        <f>SUM(K15,K32,K105,K129,K11)</f>
        <v>86957</v>
      </c>
    </row>
    <row r="198" spans="1:11" ht="13.5" customHeight="1">
      <c r="A198" s="488"/>
      <c r="B198" s="393"/>
      <c r="C198" s="348" t="s">
        <v>93</v>
      </c>
      <c r="D198" s="489"/>
      <c r="E198" s="372"/>
      <c r="F198" s="490"/>
      <c r="G198" s="487">
        <f>SUM(G20,G47,G130,G42,G12,G16,G37)</f>
        <v>161105</v>
      </c>
      <c r="H198" s="487">
        <f>SUM(H20,H47,H130,H42,H12,H16,H37)</f>
        <v>2197417</v>
      </c>
      <c r="I198" s="487">
        <f>SUM(I20,I47,I130,I42,I12,I16,I37)</f>
        <v>2190147</v>
      </c>
      <c r="J198" s="487">
        <f>SUM(J20,J47,J130,J42,J12,J16,J37)</f>
        <v>42306</v>
      </c>
      <c r="K198" s="486">
        <f>SUM(K20,K47,K130,K42,K12,K16,K37)</f>
        <v>2232453</v>
      </c>
    </row>
    <row r="199" spans="1:11" ht="13.5" customHeight="1">
      <c r="A199" s="488"/>
      <c r="B199" s="393"/>
      <c r="C199" s="348" t="s">
        <v>94</v>
      </c>
      <c r="D199" s="489"/>
      <c r="E199" s="372"/>
      <c r="F199" s="490"/>
      <c r="G199" s="475">
        <f>SUM(G131)</f>
        <v>0</v>
      </c>
      <c r="H199" s="475">
        <f>SUM(H131)</f>
        <v>0</v>
      </c>
      <c r="I199" s="475">
        <f>SUM(I131)</f>
        <v>0</v>
      </c>
      <c r="J199" s="475">
        <f>SUM(J131)</f>
        <v>250</v>
      </c>
      <c r="K199" s="373">
        <f>SUM(K131)</f>
        <v>250</v>
      </c>
    </row>
    <row r="200" spans="1:11" ht="13.5" customHeight="1">
      <c r="A200" s="488"/>
      <c r="B200" s="393"/>
      <c r="C200" s="348" t="s">
        <v>237</v>
      </c>
      <c r="D200" s="489"/>
      <c r="E200" s="372"/>
      <c r="F200" s="490"/>
      <c r="G200" s="475">
        <f>SUM(G48,G132)</f>
        <v>101743</v>
      </c>
      <c r="H200" s="475">
        <f>SUM(H48,H132)</f>
        <v>1931230</v>
      </c>
      <c r="I200" s="475">
        <f>SUM(I48,I132)</f>
        <v>1931230</v>
      </c>
      <c r="J200" s="475">
        <f>SUM(J48,J132)</f>
        <v>-1190107</v>
      </c>
      <c r="K200" s="379">
        <f>SUM(K48,K132)</f>
        <v>741123</v>
      </c>
    </row>
    <row r="201" spans="1:11" ht="13.5" customHeight="1">
      <c r="A201" s="491"/>
      <c r="B201" s="439"/>
      <c r="C201" s="478"/>
      <c r="D201" s="492"/>
      <c r="E201" s="493"/>
      <c r="F201" s="480" t="s">
        <v>245</v>
      </c>
      <c r="G201" s="379">
        <f aca="true" t="shared" si="4" ref="G201:K202">SUM(G133)</f>
        <v>95283</v>
      </c>
      <c r="H201" s="379">
        <f t="shared" si="4"/>
        <v>1924770</v>
      </c>
      <c r="I201" s="379">
        <f t="shared" si="4"/>
        <v>1924770</v>
      </c>
      <c r="J201" s="390">
        <f t="shared" si="4"/>
        <v>-1190107</v>
      </c>
      <c r="K201" s="379">
        <f t="shared" si="4"/>
        <v>734663</v>
      </c>
    </row>
    <row r="202" spans="1:11" ht="13.5" customHeight="1">
      <c r="A202" s="494"/>
      <c r="B202" s="441"/>
      <c r="C202" s="482"/>
      <c r="D202" s="495"/>
      <c r="E202" s="496"/>
      <c r="F202" s="484" t="s">
        <v>288</v>
      </c>
      <c r="G202" s="497">
        <f t="shared" si="4"/>
        <v>0</v>
      </c>
      <c r="H202" s="497">
        <f t="shared" si="4"/>
        <v>121683</v>
      </c>
      <c r="I202" s="497">
        <f t="shared" si="4"/>
        <v>121683</v>
      </c>
      <c r="J202" s="773">
        <f t="shared" si="4"/>
        <v>0</v>
      </c>
      <c r="K202" s="497">
        <f t="shared" si="4"/>
        <v>121683</v>
      </c>
    </row>
    <row r="203" spans="1:11" ht="13.5" customHeight="1">
      <c r="A203" s="498"/>
      <c r="B203" s="347"/>
      <c r="C203" s="392"/>
      <c r="D203" s="489"/>
      <c r="E203" s="372"/>
      <c r="F203" s="499" t="s">
        <v>247</v>
      </c>
      <c r="G203" s="486">
        <f>SUM(G48,)</f>
        <v>6460</v>
      </c>
      <c r="H203" s="486">
        <f>SUM(H48,)</f>
        <v>6460</v>
      </c>
      <c r="I203" s="486">
        <f>SUM(I48,)</f>
        <v>6460</v>
      </c>
      <c r="J203" s="486">
        <f>SUM(J48,)</f>
        <v>0</v>
      </c>
      <c r="K203" s="774">
        <f>SUM(K48,)</f>
        <v>6460</v>
      </c>
    </row>
    <row r="204" spans="1:11" ht="13.5" customHeight="1">
      <c r="A204" s="488"/>
      <c r="B204" s="393"/>
      <c r="C204" s="348" t="s">
        <v>218</v>
      </c>
      <c r="D204" s="489"/>
      <c r="E204" s="372"/>
      <c r="F204" s="490"/>
      <c r="G204" s="475">
        <f>SUM(G205:G209)</f>
        <v>38780</v>
      </c>
      <c r="H204" s="475">
        <f>SUM(H205:H209)</f>
        <v>557805</v>
      </c>
      <c r="I204" s="475">
        <f>SUM(I205:I209)</f>
        <v>556361</v>
      </c>
      <c r="J204" s="475">
        <f>SUM(J205:J209)</f>
        <v>94074</v>
      </c>
      <c r="K204" s="373">
        <f>SUM(K205:K209)</f>
        <v>650435</v>
      </c>
    </row>
    <row r="205" spans="1:11" ht="13.5" customHeight="1">
      <c r="A205" s="488"/>
      <c r="B205" s="347"/>
      <c r="C205" s="392"/>
      <c r="D205" s="489"/>
      <c r="E205" s="372"/>
      <c r="F205" s="402" t="s">
        <v>243</v>
      </c>
      <c r="G205" s="475">
        <f>SUM(G49,G136,G106)</f>
        <v>18780</v>
      </c>
      <c r="H205" s="475">
        <f>SUM(H49,H136,H106)</f>
        <v>534805</v>
      </c>
      <c r="I205" s="475">
        <f>SUM(I49,I136,I106)</f>
        <v>533361</v>
      </c>
      <c r="J205" s="475">
        <f>SUM(J49,J136,J106)</f>
        <v>94074</v>
      </c>
      <c r="K205" s="373">
        <f>SUM(K49,K136,K106)</f>
        <v>627435</v>
      </c>
    </row>
    <row r="206" spans="1:11" ht="13.5" customHeight="1">
      <c r="A206" s="488"/>
      <c r="B206" s="347"/>
      <c r="C206" s="392"/>
      <c r="D206" s="489"/>
      <c r="E206" s="372"/>
      <c r="F206" s="445" t="s">
        <v>246</v>
      </c>
      <c r="G206" s="475">
        <f>SUM(G137)</f>
        <v>20000</v>
      </c>
      <c r="H206" s="475">
        <f>SUM(H137)</f>
        <v>20000</v>
      </c>
      <c r="I206" s="475">
        <f>SUM(I137)</f>
        <v>20000</v>
      </c>
      <c r="J206" s="475">
        <f>SUM(J137)</f>
        <v>0</v>
      </c>
      <c r="K206" s="373">
        <f>SUM(K137)</f>
        <v>20000</v>
      </c>
    </row>
    <row r="207" spans="1:11" ht="13.5" customHeight="1">
      <c r="A207" s="488"/>
      <c r="B207" s="347"/>
      <c r="C207" s="392"/>
      <c r="D207" s="489"/>
      <c r="E207" s="372"/>
      <c r="F207" s="445" t="s">
        <v>212</v>
      </c>
      <c r="G207" s="487">
        <f>SUM(G50)</f>
        <v>0</v>
      </c>
      <c r="H207" s="487">
        <f>SUM(H50)</f>
        <v>0</v>
      </c>
      <c r="I207" s="487">
        <f>SUM(I50)</f>
        <v>0</v>
      </c>
      <c r="J207" s="487">
        <f>SUM(J50)</f>
        <v>0</v>
      </c>
      <c r="K207" s="486">
        <f>SUM(K50)</f>
        <v>0</v>
      </c>
    </row>
    <row r="208" spans="1:11" ht="13.5" customHeight="1">
      <c r="A208" s="488"/>
      <c r="B208" s="347"/>
      <c r="C208" s="392"/>
      <c r="D208" s="489"/>
      <c r="E208" s="372"/>
      <c r="F208" s="445" t="s">
        <v>244</v>
      </c>
      <c r="G208" s="487">
        <f>SUM(G36,G41,G17,G138)</f>
        <v>0</v>
      </c>
      <c r="H208" s="487">
        <f>SUM(H36,H41,H17,H138)</f>
        <v>0</v>
      </c>
      <c r="I208" s="487">
        <f>SUM(I36,I41,I17,I138)</f>
        <v>0</v>
      </c>
      <c r="J208" s="487">
        <f>SUM(J36,J41,J17,J138)</f>
        <v>0</v>
      </c>
      <c r="K208" s="486">
        <f>SUM(K36,K41,K17,K138)</f>
        <v>0</v>
      </c>
    </row>
    <row r="209" spans="1:11" ht="13.5" customHeight="1">
      <c r="A209" s="498"/>
      <c r="B209" s="347"/>
      <c r="C209" s="392"/>
      <c r="D209" s="489"/>
      <c r="E209" s="372"/>
      <c r="F209" s="445" t="s">
        <v>426</v>
      </c>
      <c r="G209" s="486">
        <f>SUM(G139)</f>
        <v>0</v>
      </c>
      <c r="H209" s="486">
        <f>SUM(H139)</f>
        <v>3000</v>
      </c>
      <c r="I209" s="486">
        <f>SUM(I139)</f>
        <v>3000</v>
      </c>
      <c r="J209" s="486">
        <f>SUM(J139)</f>
        <v>0</v>
      </c>
      <c r="K209" s="486">
        <f>SUM(K139)</f>
        <v>3000</v>
      </c>
    </row>
    <row r="210" spans="1:11" ht="13.5" customHeight="1">
      <c r="A210" s="498"/>
      <c r="B210" s="347"/>
      <c r="C210" s="871" t="s">
        <v>463</v>
      </c>
      <c r="D210" s="871"/>
      <c r="E210" s="871"/>
      <c r="F210" s="872"/>
      <c r="G210" s="500">
        <f>SUM(G211:G212)</f>
        <v>8912</v>
      </c>
      <c r="H210" s="500">
        <f>SUM(H211:H212)</f>
        <v>12133</v>
      </c>
      <c r="I210" s="500">
        <f>SUM(I211:I212)</f>
        <v>12133</v>
      </c>
      <c r="J210" s="500">
        <f>SUM(J211:J212)</f>
        <v>61000</v>
      </c>
      <c r="K210" s="500">
        <f>SUM(K211:K212)</f>
        <v>73133</v>
      </c>
    </row>
    <row r="211" spans="1:11" ht="13.5" customHeight="1">
      <c r="A211" s="498"/>
      <c r="B211" s="347"/>
      <c r="C211" s="447"/>
      <c r="D211" s="447"/>
      <c r="E211" s="447"/>
      <c r="F211" s="448" t="s">
        <v>464</v>
      </c>
      <c r="G211" s="500">
        <f>SUM(G141)</f>
        <v>0</v>
      </c>
      <c r="H211" s="500">
        <f>SUM(H141)</f>
        <v>0</v>
      </c>
      <c r="I211" s="500">
        <f>SUM(I141)</f>
        <v>0</v>
      </c>
      <c r="J211" s="500">
        <f>SUM(J141)</f>
        <v>0</v>
      </c>
      <c r="K211" s="500">
        <f>SUM(K141)</f>
        <v>0</v>
      </c>
    </row>
    <row r="212" spans="1:11" ht="13.5" customHeight="1">
      <c r="A212" s="498"/>
      <c r="B212" s="347"/>
      <c r="C212" s="447"/>
      <c r="D212" s="447"/>
      <c r="E212" s="447"/>
      <c r="F212" s="448" t="s">
        <v>465</v>
      </c>
      <c r="G212" s="500">
        <f>SUM(G142,G51)</f>
        <v>8912</v>
      </c>
      <c r="H212" s="500">
        <f>SUM(H142,H51)</f>
        <v>12133</v>
      </c>
      <c r="I212" s="500">
        <f>SUM(I142,I51)</f>
        <v>12133</v>
      </c>
      <c r="J212" s="500">
        <f>SUM(J142,J51)</f>
        <v>61000</v>
      </c>
      <c r="K212" s="500">
        <f>SUM(K142,K51)</f>
        <v>73133</v>
      </c>
    </row>
    <row r="213" spans="1:11" ht="13.5" customHeight="1">
      <c r="A213" s="498"/>
      <c r="B213" s="347"/>
      <c r="C213" s="449" t="s">
        <v>400</v>
      </c>
      <c r="D213" s="450"/>
      <c r="E213" s="450"/>
      <c r="F213" s="451"/>
      <c r="G213" s="377">
        <f>SUM(G214:G216)</f>
        <v>2945516</v>
      </c>
      <c r="H213" s="377">
        <f>SUM(H214:H216)</f>
        <v>1995694</v>
      </c>
      <c r="I213" s="377">
        <f>SUM(I214:I216)</f>
        <v>2069197</v>
      </c>
      <c r="J213" s="377">
        <f>SUM(J214:J216)</f>
        <v>-1891</v>
      </c>
      <c r="K213" s="377">
        <f>SUM(K214:K216)</f>
        <v>2067306</v>
      </c>
    </row>
    <row r="214" spans="1:11" ht="13.5" customHeight="1">
      <c r="A214" s="498"/>
      <c r="B214" s="347"/>
      <c r="C214" s="452"/>
      <c r="D214" s="450"/>
      <c r="E214" s="450"/>
      <c r="F214" s="448" t="s">
        <v>433</v>
      </c>
      <c r="G214" s="377">
        <f aca="true" t="shared" si="5" ref="G214:H216">SUM(G144)</f>
        <v>1925832</v>
      </c>
      <c r="H214" s="377">
        <f t="shared" si="5"/>
        <v>0</v>
      </c>
      <c r="I214" s="377">
        <f aca="true" t="shared" si="6" ref="I214:K216">SUM(I144)</f>
        <v>0</v>
      </c>
      <c r="J214" s="377">
        <f t="shared" si="6"/>
        <v>0</v>
      </c>
      <c r="K214" s="377">
        <f t="shared" si="6"/>
        <v>0</v>
      </c>
    </row>
    <row r="215" spans="1:11" ht="13.5" customHeight="1">
      <c r="A215" s="498"/>
      <c r="B215" s="347"/>
      <c r="C215" s="453"/>
      <c r="D215" s="454"/>
      <c r="E215" s="454"/>
      <c r="F215" s="455" t="s">
        <v>3</v>
      </c>
      <c r="G215" s="377">
        <f t="shared" si="5"/>
        <v>78000</v>
      </c>
      <c r="H215" s="377">
        <f t="shared" si="5"/>
        <v>63366</v>
      </c>
      <c r="I215" s="377">
        <f t="shared" si="6"/>
        <v>3445</v>
      </c>
      <c r="J215" s="377">
        <f t="shared" si="6"/>
        <v>-2073</v>
      </c>
      <c r="K215" s="377">
        <f t="shared" si="6"/>
        <v>1372</v>
      </c>
    </row>
    <row r="216" spans="1:11" ht="13.5" customHeight="1">
      <c r="A216" s="498"/>
      <c r="B216" s="347"/>
      <c r="C216" s="456"/>
      <c r="D216" s="457"/>
      <c r="E216" s="457"/>
      <c r="F216" s="502" t="s">
        <v>434</v>
      </c>
      <c r="G216" s="377">
        <f t="shared" si="5"/>
        <v>941684</v>
      </c>
      <c r="H216" s="377">
        <f t="shared" si="5"/>
        <v>1932328</v>
      </c>
      <c r="I216" s="377">
        <f t="shared" si="6"/>
        <v>2065752</v>
      </c>
      <c r="J216" s="377">
        <f t="shared" si="6"/>
        <v>182</v>
      </c>
      <c r="K216" s="377">
        <f t="shared" si="6"/>
        <v>2065934</v>
      </c>
    </row>
    <row r="217" spans="1:69" s="294" customFormat="1" ht="13.5" customHeight="1">
      <c r="A217" s="498"/>
      <c r="B217" s="347"/>
      <c r="C217" s="871" t="s">
        <v>431</v>
      </c>
      <c r="D217" s="871"/>
      <c r="E217" s="871"/>
      <c r="F217" s="872"/>
      <c r="G217" s="377">
        <f>SUM(G218:G220)</f>
        <v>212048</v>
      </c>
      <c r="H217" s="377">
        <f>SUM(H218:H220)</f>
        <v>212048</v>
      </c>
      <c r="I217" s="377">
        <f>SUM(I218:I220)</f>
        <v>212048</v>
      </c>
      <c r="J217" s="377">
        <f>SUM(J218:J220)</f>
        <v>0</v>
      </c>
      <c r="K217" s="377">
        <f>SUM(K218:K220)</f>
        <v>212048</v>
      </c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93"/>
      <c r="AB217" s="293"/>
      <c r="AC217" s="293"/>
      <c r="AD217" s="293"/>
      <c r="AE217" s="293"/>
      <c r="AF217" s="293"/>
      <c r="AG217" s="293"/>
      <c r="AH217" s="293"/>
      <c r="AI217" s="293"/>
      <c r="AJ217" s="293"/>
      <c r="AK217" s="293"/>
      <c r="AL217" s="293"/>
      <c r="AM217" s="293"/>
      <c r="AN217" s="293"/>
      <c r="AO217" s="293"/>
      <c r="AP217" s="293"/>
      <c r="AQ217" s="293"/>
      <c r="AR217" s="293"/>
      <c r="AS217" s="293"/>
      <c r="AT217" s="293"/>
      <c r="AU217" s="293"/>
      <c r="AV217" s="293"/>
      <c r="AW217" s="293"/>
      <c r="AX217" s="293"/>
      <c r="AY217" s="293"/>
      <c r="AZ217" s="293"/>
      <c r="BA217" s="293"/>
      <c r="BB217" s="293"/>
      <c r="BC217" s="293"/>
      <c r="BD217" s="293"/>
      <c r="BE217" s="293"/>
      <c r="BF217" s="293"/>
      <c r="BG217" s="293"/>
      <c r="BH217" s="293"/>
      <c r="BI217" s="293"/>
      <c r="BJ217" s="293"/>
      <c r="BK217" s="293"/>
      <c r="BL217" s="293"/>
      <c r="BM217" s="293"/>
      <c r="BN217" s="293"/>
      <c r="BO217" s="293"/>
      <c r="BP217" s="293"/>
      <c r="BQ217" s="293"/>
    </row>
    <row r="218" spans="1:69" s="294" customFormat="1" ht="13.5" customHeight="1">
      <c r="A218" s="503"/>
      <c r="B218" s="347"/>
      <c r="C218" s="372"/>
      <c r="D218" s="372"/>
      <c r="E218" s="372"/>
      <c r="F218" s="448" t="s">
        <v>399</v>
      </c>
      <c r="G218" s="500">
        <f aca="true" t="shared" si="7" ref="G218:H220">SUM(G151)</f>
        <v>76985</v>
      </c>
      <c r="H218" s="500">
        <f t="shared" si="7"/>
        <v>76985</v>
      </c>
      <c r="I218" s="500">
        <f aca="true" t="shared" si="8" ref="I218:K220">SUM(I151)</f>
        <v>76985</v>
      </c>
      <c r="J218" s="500">
        <f t="shared" si="8"/>
        <v>0</v>
      </c>
      <c r="K218" s="500">
        <f t="shared" si="8"/>
        <v>76985</v>
      </c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93"/>
      <c r="AB218" s="293"/>
      <c r="AC218" s="293"/>
      <c r="AD218" s="293"/>
      <c r="AE218" s="293"/>
      <c r="AF218" s="293"/>
      <c r="AG218" s="293"/>
      <c r="AH218" s="293"/>
      <c r="AI218" s="293"/>
      <c r="AJ218" s="293"/>
      <c r="AK218" s="293"/>
      <c r="AL218" s="293"/>
      <c r="AM218" s="293"/>
      <c r="AN218" s="293"/>
      <c r="AO218" s="293"/>
      <c r="AP218" s="293"/>
      <c r="AQ218" s="293"/>
      <c r="AR218" s="293"/>
      <c r="AS218" s="293"/>
      <c r="AT218" s="293"/>
      <c r="AU218" s="293"/>
      <c r="AV218" s="293"/>
      <c r="AW218" s="293"/>
      <c r="AX218" s="293"/>
      <c r="AY218" s="293"/>
      <c r="AZ218" s="293"/>
      <c r="BA218" s="293"/>
      <c r="BB218" s="293"/>
      <c r="BC218" s="293"/>
      <c r="BD218" s="293"/>
      <c r="BE218" s="293"/>
      <c r="BF218" s="293"/>
      <c r="BG218" s="293"/>
      <c r="BH218" s="293"/>
      <c r="BI218" s="293"/>
      <c r="BJ218" s="293"/>
      <c r="BK218" s="293"/>
      <c r="BL218" s="293"/>
      <c r="BM218" s="293"/>
      <c r="BN218" s="293"/>
      <c r="BO218" s="293"/>
      <c r="BP218" s="293"/>
      <c r="BQ218" s="293"/>
    </row>
    <row r="219" spans="1:69" s="294" customFormat="1" ht="13.5" customHeight="1">
      <c r="A219" s="503"/>
      <c r="B219" s="347"/>
      <c r="C219" s="372"/>
      <c r="D219" s="372"/>
      <c r="E219" s="372"/>
      <c r="F219" s="448" t="s">
        <v>255</v>
      </c>
      <c r="G219" s="500">
        <f t="shared" si="7"/>
        <v>135063</v>
      </c>
      <c r="H219" s="500">
        <f t="shared" si="7"/>
        <v>135063</v>
      </c>
      <c r="I219" s="500">
        <f t="shared" si="8"/>
        <v>135063</v>
      </c>
      <c r="J219" s="500">
        <f t="shared" si="8"/>
        <v>0</v>
      </c>
      <c r="K219" s="500">
        <f t="shared" si="8"/>
        <v>135063</v>
      </c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93"/>
      <c r="AB219" s="293"/>
      <c r="AC219" s="293"/>
      <c r="AD219" s="293"/>
      <c r="AE219" s="293"/>
      <c r="AF219" s="293"/>
      <c r="AG219" s="293"/>
      <c r="AH219" s="293"/>
      <c r="AI219" s="293"/>
      <c r="AJ219" s="293"/>
      <c r="AK219" s="293"/>
      <c r="AL219" s="293"/>
      <c r="AM219" s="293"/>
      <c r="AN219" s="293"/>
      <c r="AO219" s="293"/>
      <c r="AP219" s="293"/>
      <c r="AQ219" s="293"/>
      <c r="AR219" s="293"/>
      <c r="AS219" s="293"/>
      <c r="AT219" s="293"/>
      <c r="AU219" s="293"/>
      <c r="AV219" s="293"/>
      <c r="AW219" s="293"/>
      <c r="AX219" s="293"/>
      <c r="AY219" s="293"/>
      <c r="AZ219" s="293"/>
      <c r="BA219" s="293"/>
      <c r="BB219" s="293"/>
      <c r="BC219" s="293"/>
      <c r="BD219" s="293"/>
      <c r="BE219" s="293"/>
      <c r="BF219" s="293"/>
      <c r="BG219" s="293"/>
      <c r="BH219" s="293"/>
      <c r="BI219" s="293"/>
      <c r="BJ219" s="293"/>
      <c r="BK219" s="293"/>
      <c r="BL219" s="293"/>
      <c r="BM219" s="293"/>
      <c r="BN219" s="293"/>
      <c r="BO219" s="293"/>
      <c r="BP219" s="293"/>
      <c r="BQ219" s="293"/>
    </row>
    <row r="220" spans="1:69" s="294" customFormat="1" ht="13.5" customHeight="1">
      <c r="A220" s="503"/>
      <c r="B220" s="347"/>
      <c r="C220" s="372"/>
      <c r="D220" s="372"/>
      <c r="E220" s="372"/>
      <c r="F220" s="448" t="s">
        <v>432</v>
      </c>
      <c r="G220" s="500">
        <f t="shared" si="7"/>
        <v>0</v>
      </c>
      <c r="H220" s="500">
        <f t="shared" si="7"/>
        <v>0</v>
      </c>
      <c r="I220" s="500">
        <f t="shared" si="8"/>
        <v>0</v>
      </c>
      <c r="J220" s="500">
        <f t="shared" si="8"/>
        <v>0</v>
      </c>
      <c r="K220" s="500">
        <f t="shared" si="8"/>
        <v>0</v>
      </c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93"/>
      <c r="AB220" s="293"/>
      <c r="AC220" s="293"/>
      <c r="AD220" s="293"/>
      <c r="AE220" s="293"/>
      <c r="AF220" s="293"/>
      <c r="AG220" s="293"/>
      <c r="AH220" s="293"/>
      <c r="AI220" s="293"/>
      <c r="AJ220" s="293"/>
      <c r="AK220" s="293"/>
      <c r="AL220" s="293"/>
      <c r="AM220" s="293"/>
      <c r="AN220" s="293"/>
      <c r="AO220" s="293"/>
      <c r="AP220" s="293"/>
      <c r="AQ220" s="293"/>
      <c r="AR220" s="293"/>
      <c r="AS220" s="293"/>
      <c r="AT220" s="293"/>
      <c r="AU220" s="293"/>
      <c r="AV220" s="293"/>
      <c r="AW220" s="293"/>
      <c r="AX220" s="293"/>
      <c r="AY220" s="293"/>
      <c r="AZ220" s="293"/>
      <c r="BA220" s="293"/>
      <c r="BB220" s="293"/>
      <c r="BC220" s="293"/>
      <c r="BD220" s="293"/>
      <c r="BE220" s="293"/>
      <c r="BF220" s="293"/>
      <c r="BG220" s="293"/>
      <c r="BH220" s="293"/>
      <c r="BI220" s="293"/>
      <c r="BJ220" s="293"/>
      <c r="BK220" s="293"/>
      <c r="BL220" s="293"/>
      <c r="BM220" s="293"/>
      <c r="BN220" s="293"/>
      <c r="BO220" s="293"/>
      <c r="BP220" s="293"/>
      <c r="BQ220" s="293"/>
    </row>
    <row r="221" spans="1:69" s="509" customFormat="1" ht="13.5" customHeight="1">
      <c r="A221" s="504"/>
      <c r="B221" s="505"/>
      <c r="C221" s="449" t="s">
        <v>401</v>
      </c>
      <c r="D221" s="457"/>
      <c r="E221" s="457"/>
      <c r="F221" s="506"/>
      <c r="G221" s="377">
        <f>SUM(G171)</f>
        <v>7171759</v>
      </c>
      <c r="H221" s="377">
        <f>SUM(H171)</f>
        <v>7932503</v>
      </c>
      <c r="I221" s="377">
        <f>SUM(I171)</f>
        <v>7939942</v>
      </c>
      <c r="J221" s="377">
        <f>SUM(J171)</f>
        <v>584681</v>
      </c>
      <c r="K221" s="377">
        <f>SUM(K171)</f>
        <v>8524623</v>
      </c>
      <c r="L221" s="507"/>
      <c r="M221" s="507"/>
      <c r="N221" s="507"/>
      <c r="O221" s="507"/>
      <c r="P221" s="507"/>
      <c r="Q221" s="507"/>
      <c r="R221" s="507"/>
      <c r="S221" s="507"/>
      <c r="T221" s="507"/>
      <c r="U221" s="507"/>
      <c r="V221" s="507"/>
      <c r="W221" s="507"/>
      <c r="X221" s="507"/>
      <c r="Y221" s="507"/>
      <c r="Z221" s="507"/>
      <c r="AA221" s="508"/>
      <c r="AB221" s="508"/>
      <c r="AC221" s="508"/>
      <c r="AD221" s="508"/>
      <c r="AE221" s="508"/>
      <c r="AF221" s="508"/>
      <c r="AG221" s="508"/>
      <c r="AH221" s="508"/>
      <c r="AI221" s="508"/>
      <c r="AJ221" s="508"/>
      <c r="AK221" s="508"/>
      <c r="AL221" s="508"/>
      <c r="AM221" s="508"/>
      <c r="AN221" s="508"/>
      <c r="AO221" s="508"/>
      <c r="AP221" s="508"/>
      <c r="AQ221" s="508"/>
      <c r="AR221" s="508"/>
      <c r="AS221" s="508"/>
      <c r="AT221" s="508"/>
      <c r="AU221" s="508"/>
      <c r="AV221" s="508"/>
      <c r="AW221" s="508"/>
      <c r="AX221" s="508"/>
      <c r="AY221" s="508"/>
      <c r="AZ221" s="508"/>
      <c r="BA221" s="508"/>
      <c r="BB221" s="508"/>
      <c r="BC221" s="508"/>
      <c r="BD221" s="508"/>
      <c r="BE221" s="508"/>
      <c r="BF221" s="508"/>
      <c r="BG221" s="508"/>
      <c r="BH221" s="508"/>
      <c r="BI221" s="508"/>
      <c r="BJ221" s="508"/>
      <c r="BK221" s="508"/>
      <c r="BL221" s="508"/>
      <c r="BM221" s="508"/>
      <c r="BN221" s="508"/>
      <c r="BO221" s="508"/>
      <c r="BP221" s="508"/>
      <c r="BQ221" s="508"/>
    </row>
    <row r="222" spans="1:11" ht="12.75">
      <c r="A222" s="123"/>
      <c r="B222" s="123"/>
      <c r="C222" s="123"/>
      <c r="D222" s="123"/>
      <c r="E222" s="123"/>
      <c r="F222" s="123"/>
      <c r="G222" s="510"/>
      <c r="H222" s="510"/>
      <c r="I222" s="510"/>
      <c r="J222" s="123"/>
      <c r="K222" s="123"/>
    </row>
    <row r="223" spans="1:11" ht="12.75">
      <c r="A223" s="123"/>
      <c r="B223" s="123"/>
      <c r="C223" s="123"/>
      <c r="D223" s="123"/>
      <c r="E223" s="123"/>
      <c r="F223" s="123"/>
      <c r="G223" s="510"/>
      <c r="H223" s="510"/>
      <c r="I223" s="510"/>
      <c r="J223" s="123"/>
      <c r="K223" s="123"/>
    </row>
    <row r="224" spans="1:11" ht="12.75">
      <c r="A224" s="123"/>
      <c r="B224" s="123"/>
      <c r="C224" s="123"/>
      <c r="D224" s="123"/>
      <c r="E224" s="123"/>
      <c r="F224" s="123"/>
      <c r="G224" s="510"/>
      <c r="H224" s="510"/>
      <c r="I224" s="510"/>
      <c r="J224" s="123"/>
      <c r="K224" s="123"/>
    </row>
    <row r="225" spans="1:11" ht="12.75">
      <c r="A225" s="123"/>
      <c r="B225" s="123"/>
      <c r="C225" s="123"/>
      <c r="D225" s="123"/>
      <c r="E225" s="123"/>
      <c r="F225" s="123"/>
      <c r="G225" s="510"/>
      <c r="H225" s="510"/>
      <c r="I225" s="510"/>
      <c r="J225" s="123"/>
      <c r="K225" s="123"/>
    </row>
    <row r="226" spans="1:11" ht="12.75">
      <c r="A226" s="123"/>
      <c r="B226" s="123"/>
      <c r="C226" s="123"/>
      <c r="D226" s="123"/>
      <c r="E226" s="123"/>
      <c r="F226" s="123"/>
      <c r="G226" s="510"/>
      <c r="H226" s="510"/>
      <c r="I226" s="510"/>
      <c r="J226" s="123"/>
      <c r="K226" s="123"/>
    </row>
    <row r="227" spans="1:11" ht="12.75">
      <c r="A227" s="123"/>
      <c r="B227" s="123"/>
      <c r="C227" s="123"/>
      <c r="D227" s="123"/>
      <c r="E227" s="123"/>
      <c r="F227" s="123"/>
      <c r="G227" s="510"/>
      <c r="H227" s="510"/>
      <c r="I227" s="510"/>
      <c r="J227" s="123"/>
      <c r="K227" s="123"/>
    </row>
    <row r="228" spans="1:11" ht="12.75">
      <c r="A228" s="123"/>
      <c r="B228" s="123"/>
      <c r="C228" s="123"/>
      <c r="D228" s="123"/>
      <c r="E228" s="123"/>
      <c r="F228" s="123"/>
      <c r="G228" s="510"/>
      <c r="H228" s="510"/>
      <c r="I228" s="510"/>
      <c r="J228" s="123"/>
      <c r="K228" s="123"/>
    </row>
    <row r="229" spans="1:11" ht="12.75">
      <c r="A229" s="123"/>
      <c r="B229" s="123"/>
      <c r="C229" s="123"/>
      <c r="D229" s="123"/>
      <c r="E229" s="123"/>
      <c r="F229" s="123"/>
      <c r="G229" s="510"/>
      <c r="H229" s="510"/>
      <c r="I229" s="510"/>
      <c r="J229" s="123"/>
      <c r="K229" s="123"/>
    </row>
    <row r="230" spans="1:11" ht="12.75">
      <c r="A230" s="123"/>
      <c r="B230" s="123"/>
      <c r="C230" s="123"/>
      <c r="D230" s="123"/>
      <c r="E230" s="123"/>
      <c r="F230" s="123"/>
      <c r="G230" s="510"/>
      <c r="H230" s="510"/>
      <c r="I230" s="510"/>
      <c r="J230" s="123"/>
      <c r="K230" s="123"/>
    </row>
    <row r="231" spans="1:11" ht="12.75">
      <c r="A231" s="123"/>
      <c r="B231" s="123"/>
      <c r="C231" s="123"/>
      <c r="D231" s="123"/>
      <c r="E231" s="123"/>
      <c r="F231" s="123"/>
      <c r="G231" s="510"/>
      <c r="H231" s="510"/>
      <c r="I231" s="510"/>
      <c r="J231" s="123"/>
      <c r="K231" s="123"/>
    </row>
    <row r="232" spans="1:11" ht="12.75">
      <c r="A232" s="123"/>
      <c r="B232" s="123"/>
      <c r="C232" s="123"/>
      <c r="D232" s="123"/>
      <c r="E232" s="123"/>
      <c r="F232" s="123"/>
      <c r="G232" s="510"/>
      <c r="H232" s="510"/>
      <c r="I232" s="510"/>
      <c r="J232" s="123"/>
      <c r="K232" s="123"/>
    </row>
    <row r="233" spans="1:11" ht="12.75">
      <c r="A233" s="123"/>
      <c r="B233" s="123"/>
      <c r="C233" s="123"/>
      <c r="D233" s="123"/>
      <c r="E233" s="123"/>
      <c r="F233" s="123"/>
      <c r="G233" s="510"/>
      <c r="H233" s="510"/>
      <c r="I233" s="510"/>
      <c r="J233" s="123"/>
      <c r="K233" s="123"/>
    </row>
    <row r="234" spans="1:11" ht="12.75">
      <c r="A234" s="123"/>
      <c r="B234" s="123"/>
      <c r="C234" s="123"/>
      <c r="D234" s="123"/>
      <c r="E234" s="123"/>
      <c r="F234" s="123"/>
      <c r="G234" s="510"/>
      <c r="H234" s="510"/>
      <c r="I234" s="510"/>
      <c r="J234" s="123"/>
      <c r="K234" s="123"/>
    </row>
    <row r="235" spans="1:11" ht="12.75">
      <c r="A235" s="123"/>
      <c r="B235" s="123"/>
      <c r="C235" s="123"/>
      <c r="D235" s="123"/>
      <c r="E235" s="123"/>
      <c r="F235" s="123"/>
      <c r="G235" s="510"/>
      <c r="H235" s="510"/>
      <c r="I235" s="510"/>
      <c r="J235" s="123"/>
      <c r="K235" s="123"/>
    </row>
    <row r="236" spans="1:11" ht="12.75">
      <c r="A236" s="123"/>
      <c r="B236" s="123"/>
      <c r="C236" s="123"/>
      <c r="D236" s="123"/>
      <c r="E236" s="123"/>
      <c r="F236" s="123"/>
      <c r="G236" s="510"/>
      <c r="H236" s="510"/>
      <c r="I236" s="510"/>
      <c r="J236" s="123"/>
      <c r="K236" s="123"/>
    </row>
    <row r="237" spans="1:11" ht="12.75">
      <c r="A237" s="123"/>
      <c r="B237" s="123"/>
      <c r="C237" s="123"/>
      <c r="D237" s="123"/>
      <c r="E237" s="123"/>
      <c r="F237" s="123"/>
      <c r="G237" s="510"/>
      <c r="H237" s="510"/>
      <c r="I237" s="510"/>
      <c r="J237" s="123"/>
      <c r="K237" s="123"/>
    </row>
    <row r="238" spans="1:11" ht="12.75">
      <c r="A238" s="123"/>
      <c r="B238" s="123"/>
      <c r="C238" s="123"/>
      <c r="D238" s="123"/>
      <c r="E238" s="123"/>
      <c r="F238" s="123"/>
      <c r="G238" s="510"/>
      <c r="H238" s="510"/>
      <c r="I238" s="510"/>
      <c r="J238" s="123"/>
      <c r="K238" s="123"/>
    </row>
    <row r="239" spans="1:11" ht="12.75">
      <c r="A239" s="123"/>
      <c r="B239" s="123"/>
      <c r="C239" s="123"/>
      <c r="D239" s="123"/>
      <c r="E239" s="123"/>
      <c r="F239" s="123"/>
      <c r="G239" s="510"/>
      <c r="H239" s="510"/>
      <c r="I239" s="510"/>
      <c r="J239" s="123"/>
      <c r="K239" s="123"/>
    </row>
    <row r="240" spans="1:11" ht="12.75">
      <c r="A240" s="123"/>
      <c r="B240" s="123"/>
      <c r="C240" s="123"/>
      <c r="D240" s="123"/>
      <c r="E240" s="123"/>
      <c r="F240" s="123"/>
      <c r="G240" s="510"/>
      <c r="H240" s="510"/>
      <c r="I240" s="510"/>
      <c r="J240" s="123"/>
      <c r="K240" s="123"/>
    </row>
    <row r="241" spans="1:11" ht="12.75">
      <c r="A241" s="123"/>
      <c r="B241" s="123"/>
      <c r="C241" s="123"/>
      <c r="D241" s="123"/>
      <c r="E241" s="123"/>
      <c r="F241" s="123"/>
      <c r="G241" s="510"/>
      <c r="H241" s="510"/>
      <c r="I241" s="510"/>
      <c r="J241" s="123"/>
      <c r="K241" s="123"/>
    </row>
    <row r="242" spans="1:11" ht="12.75">
      <c r="A242" s="123"/>
      <c r="B242" s="123"/>
      <c r="C242" s="123"/>
      <c r="D242" s="123"/>
      <c r="E242" s="123"/>
      <c r="F242" s="123"/>
      <c r="G242" s="510"/>
      <c r="H242" s="510"/>
      <c r="I242" s="510"/>
      <c r="J242" s="123"/>
      <c r="K242" s="123"/>
    </row>
    <row r="243" spans="1:11" ht="12.75">
      <c r="A243" s="123"/>
      <c r="B243" s="123"/>
      <c r="C243" s="123"/>
      <c r="D243" s="123"/>
      <c r="E243" s="123"/>
      <c r="F243" s="123"/>
      <c r="G243" s="510"/>
      <c r="H243" s="510"/>
      <c r="I243" s="510"/>
      <c r="J243" s="123"/>
      <c r="K243" s="123"/>
    </row>
    <row r="244" spans="1:11" ht="12.75">
      <c r="A244" s="123"/>
      <c r="B244" s="123"/>
      <c r="C244" s="123"/>
      <c r="D244" s="123"/>
      <c r="E244" s="123"/>
      <c r="F244" s="123"/>
      <c r="G244" s="510"/>
      <c r="H244" s="510"/>
      <c r="I244" s="510"/>
      <c r="J244" s="123"/>
      <c r="K244" s="123"/>
    </row>
    <row r="245" spans="1:11" ht="12.75">
      <c r="A245" s="123"/>
      <c r="B245" s="123"/>
      <c r="C245" s="123"/>
      <c r="D245" s="123"/>
      <c r="E245" s="123"/>
      <c r="F245" s="123"/>
      <c r="G245" s="510"/>
      <c r="H245" s="510"/>
      <c r="I245" s="510"/>
      <c r="J245" s="123"/>
      <c r="K245" s="123"/>
    </row>
    <row r="246" spans="1:11" ht="12.75">
      <c r="A246" s="123"/>
      <c r="B246" s="123"/>
      <c r="C246" s="123"/>
      <c r="D246" s="123"/>
      <c r="E246" s="123"/>
      <c r="F246" s="123"/>
      <c r="G246" s="510"/>
      <c r="H246" s="510"/>
      <c r="I246" s="510"/>
      <c r="J246" s="123"/>
      <c r="K246" s="123"/>
    </row>
    <row r="247" spans="1:11" ht="12.75">
      <c r="A247" s="123"/>
      <c r="B247" s="123"/>
      <c r="C247" s="123"/>
      <c r="D247" s="123"/>
      <c r="E247" s="123"/>
      <c r="F247" s="123"/>
      <c r="G247" s="510"/>
      <c r="H247" s="510"/>
      <c r="I247" s="510"/>
      <c r="J247" s="123"/>
      <c r="K247" s="123"/>
    </row>
    <row r="248" spans="1:11" ht="12.75">
      <c r="A248" s="123"/>
      <c r="B248" s="123"/>
      <c r="C248" s="123"/>
      <c r="D248" s="123"/>
      <c r="E248" s="123"/>
      <c r="F248" s="123"/>
      <c r="G248" s="510"/>
      <c r="H248" s="510"/>
      <c r="I248" s="510"/>
      <c r="J248" s="123"/>
      <c r="K248" s="123"/>
    </row>
    <row r="249" spans="1:11" ht="12.75">
      <c r="A249" s="123"/>
      <c r="B249" s="123"/>
      <c r="C249" s="123"/>
      <c r="D249" s="123"/>
      <c r="E249" s="123"/>
      <c r="F249" s="123"/>
      <c r="G249" s="510"/>
      <c r="H249" s="510"/>
      <c r="I249" s="510"/>
      <c r="J249" s="123"/>
      <c r="K249" s="123"/>
    </row>
    <row r="250" spans="1:11" ht="12.75">
      <c r="A250" s="123"/>
      <c r="B250" s="123"/>
      <c r="C250" s="123"/>
      <c r="D250" s="123"/>
      <c r="E250" s="123"/>
      <c r="F250" s="123"/>
      <c r="G250" s="510"/>
      <c r="H250" s="510"/>
      <c r="I250" s="510"/>
      <c r="J250" s="123"/>
      <c r="K250" s="123"/>
    </row>
    <row r="251" spans="1:11" ht="12.75">
      <c r="A251" s="123"/>
      <c r="B251" s="123"/>
      <c r="C251" s="123"/>
      <c r="D251" s="123"/>
      <c r="E251" s="123"/>
      <c r="F251" s="123"/>
      <c r="G251" s="510"/>
      <c r="H251" s="510"/>
      <c r="I251" s="510"/>
      <c r="J251" s="123"/>
      <c r="K251" s="123"/>
    </row>
    <row r="252" spans="1:11" ht="12.75">
      <c r="A252" s="123"/>
      <c r="B252" s="123"/>
      <c r="C252" s="123"/>
      <c r="D252" s="123"/>
      <c r="E252" s="123"/>
      <c r="F252" s="123"/>
      <c r="G252" s="510"/>
      <c r="H252" s="510"/>
      <c r="I252" s="510"/>
      <c r="J252" s="123"/>
      <c r="K252" s="123"/>
    </row>
    <row r="253" spans="1:11" ht="12.75">
      <c r="A253" s="123"/>
      <c r="B253" s="123"/>
      <c r="C253" s="123"/>
      <c r="D253" s="123"/>
      <c r="E253" s="123"/>
      <c r="F253" s="123"/>
      <c r="G253" s="510"/>
      <c r="H253" s="510"/>
      <c r="I253" s="510"/>
      <c r="J253" s="123"/>
      <c r="K253" s="123"/>
    </row>
    <row r="254" spans="1:11" ht="12.75">
      <c r="A254" s="123"/>
      <c r="B254" s="123"/>
      <c r="C254" s="123"/>
      <c r="D254" s="123"/>
      <c r="E254" s="123"/>
      <c r="F254" s="123"/>
      <c r="G254" s="510"/>
      <c r="H254" s="510"/>
      <c r="I254" s="510"/>
      <c r="J254" s="123"/>
      <c r="K254" s="123"/>
    </row>
    <row r="255" spans="1:11" ht="12.75">
      <c r="A255" s="123"/>
      <c r="B255" s="123"/>
      <c r="C255" s="123"/>
      <c r="D255" s="123"/>
      <c r="E255" s="123"/>
      <c r="F255" s="123"/>
      <c r="G255" s="510"/>
      <c r="H255" s="510"/>
      <c r="I255" s="510"/>
      <c r="J255" s="123"/>
      <c r="K255" s="123"/>
    </row>
    <row r="256" spans="1:11" ht="12.75">
      <c r="A256" s="123"/>
      <c r="B256" s="123"/>
      <c r="C256" s="123"/>
      <c r="D256" s="123"/>
      <c r="E256" s="123"/>
      <c r="F256" s="123"/>
      <c r="G256" s="510"/>
      <c r="H256" s="510"/>
      <c r="I256" s="510"/>
      <c r="J256" s="123"/>
      <c r="K256" s="123"/>
    </row>
    <row r="257" spans="1:11" ht="12.75">
      <c r="A257" s="123"/>
      <c r="B257" s="123"/>
      <c r="C257" s="123"/>
      <c r="D257" s="123"/>
      <c r="E257" s="123"/>
      <c r="F257" s="123"/>
      <c r="G257" s="510"/>
      <c r="H257" s="510"/>
      <c r="I257" s="510"/>
      <c r="J257" s="123"/>
      <c r="K257" s="123"/>
    </row>
    <row r="258" spans="1:11" ht="12.75">
      <c r="A258" s="123"/>
      <c r="B258" s="123"/>
      <c r="C258" s="123"/>
      <c r="D258" s="123"/>
      <c r="E258" s="123"/>
      <c r="F258" s="123"/>
      <c r="G258" s="510"/>
      <c r="H258" s="510"/>
      <c r="I258" s="510"/>
      <c r="J258" s="123"/>
      <c r="K258" s="123"/>
    </row>
    <row r="259" spans="1:11" ht="12.75">
      <c r="A259" s="123"/>
      <c r="B259" s="123"/>
      <c r="C259" s="123"/>
      <c r="D259" s="123"/>
      <c r="E259" s="123"/>
      <c r="F259" s="123"/>
      <c r="G259" s="510"/>
      <c r="H259" s="510"/>
      <c r="I259" s="510"/>
      <c r="J259" s="123"/>
      <c r="K259" s="123"/>
    </row>
    <row r="260" spans="1:11" ht="12.75">
      <c r="A260" s="123"/>
      <c r="B260" s="123"/>
      <c r="C260" s="123"/>
      <c r="D260" s="123"/>
      <c r="E260" s="123"/>
      <c r="F260" s="123"/>
      <c r="G260" s="510"/>
      <c r="H260" s="510"/>
      <c r="I260" s="510"/>
      <c r="J260" s="123"/>
      <c r="K260" s="123"/>
    </row>
    <row r="261" spans="1:11" ht="12.75">
      <c r="A261" s="123"/>
      <c r="B261" s="123"/>
      <c r="C261" s="123"/>
      <c r="D261" s="123"/>
      <c r="E261" s="123"/>
      <c r="F261" s="123"/>
      <c r="G261" s="510"/>
      <c r="H261" s="510"/>
      <c r="I261" s="510"/>
      <c r="J261" s="123"/>
      <c r="K261" s="123"/>
    </row>
    <row r="262" spans="1:11" ht="12.75">
      <c r="A262" s="123"/>
      <c r="B262" s="123"/>
      <c r="C262" s="123"/>
      <c r="D262" s="123"/>
      <c r="E262" s="123"/>
      <c r="F262" s="123"/>
      <c r="G262" s="510"/>
      <c r="H262" s="510"/>
      <c r="I262" s="510"/>
      <c r="J262" s="123"/>
      <c r="K262" s="123"/>
    </row>
    <row r="263" spans="1:11" ht="12.75">
      <c r="A263" s="123"/>
      <c r="B263" s="123"/>
      <c r="C263" s="123"/>
      <c r="D263" s="123"/>
      <c r="E263" s="123"/>
      <c r="F263" s="123"/>
      <c r="G263" s="510"/>
      <c r="H263" s="510"/>
      <c r="I263" s="510"/>
      <c r="J263" s="123"/>
      <c r="K263" s="123"/>
    </row>
    <row r="264" spans="1:11" ht="12.75">
      <c r="A264" s="123"/>
      <c r="B264" s="123"/>
      <c r="C264" s="123"/>
      <c r="D264" s="123"/>
      <c r="E264" s="123"/>
      <c r="F264" s="123"/>
      <c r="G264" s="510"/>
      <c r="H264" s="510"/>
      <c r="I264" s="510"/>
      <c r="J264" s="123"/>
      <c r="K264" s="123"/>
    </row>
    <row r="265" spans="1:11" ht="12.75">
      <c r="A265" s="123"/>
      <c r="B265" s="123"/>
      <c r="C265" s="123"/>
      <c r="D265" s="123"/>
      <c r="E265" s="123"/>
      <c r="F265" s="123"/>
      <c r="G265" s="510"/>
      <c r="H265" s="510"/>
      <c r="I265" s="510"/>
      <c r="J265" s="123"/>
      <c r="K265" s="123"/>
    </row>
    <row r="266" spans="1:11" ht="12.75">
      <c r="A266" s="123"/>
      <c r="B266" s="123"/>
      <c r="C266" s="123"/>
      <c r="D266" s="123"/>
      <c r="E266" s="123"/>
      <c r="F266" s="123"/>
      <c r="G266" s="510"/>
      <c r="H266" s="510"/>
      <c r="I266" s="510"/>
      <c r="J266" s="123"/>
      <c r="K266" s="123"/>
    </row>
    <row r="267" spans="1:11" ht="12.75">
      <c r="A267" s="123"/>
      <c r="B267" s="123"/>
      <c r="C267" s="123"/>
      <c r="D267" s="123"/>
      <c r="E267" s="123"/>
      <c r="F267" s="123"/>
      <c r="G267" s="510"/>
      <c r="H267" s="510"/>
      <c r="I267" s="510"/>
      <c r="J267" s="123"/>
      <c r="K267" s="123"/>
    </row>
    <row r="268" spans="1:11" ht="12.75">
      <c r="A268" s="123"/>
      <c r="B268" s="123"/>
      <c r="C268" s="123"/>
      <c r="D268" s="123"/>
      <c r="E268" s="123"/>
      <c r="F268" s="123"/>
      <c r="G268" s="510"/>
      <c r="H268" s="510"/>
      <c r="I268" s="510"/>
      <c r="J268" s="123"/>
      <c r="K268" s="123"/>
    </row>
    <row r="269" spans="1:11" ht="12.75">
      <c r="A269" s="123"/>
      <c r="B269" s="123"/>
      <c r="C269" s="123"/>
      <c r="D269" s="123"/>
      <c r="E269" s="123"/>
      <c r="F269" s="123"/>
      <c r="G269" s="510"/>
      <c r="H269" s="510"/>
      <c r="I269" s="510"/>
      <c r="J269" s="123"/>
      <c r="K269" s="123"/>
    </row>
    <row r="270" spans="1:11" ht="12.75">
      <c r="A270" s="123"/>
      <c r="B270" s="123"/>
      <c r="C270" s="123"/>
      <c r="D270" s="123"/>
      <c r="E270" s="123"/>
      <c r="F270" s="123"/>
      <c r="G270" s="510"/>
      <c r="H270" s="510"/>
      <c r="I270" s="510"/>
      <c r="J270" s="123"/>
      <c r="K270" s="123"/>
    </row>
    <row r="271" spans="1:11" ht="12.75">
      <c r="A271" s="123"/>
      <c r="B271" s="123"/>
      <c r="C271" s="123"/>
      <c r="D271" s="123"/>
      <c r="E271" s="123"/>
      <c r="F271" s="123"/>
      <c r="G271" s="510"/>
      <c r="H271" s="510"/>
      <c r="I271" s="510"/>
      <c r="J271" s="123"/>
      <c r="K271" s="123"/>
    </row>
    <row r="272" spans="1:11" ht="12.75">
      <c r="A272" s="123"/>
      <c r="B272" s="123"/>
      <c r="C272" s="123"/>
      <c r="D272" s="123"/>
      <c r="E272" s="123"/>
      <c r="F272" s="123"/>
      <c r="G272" s="510"/>
      <c r="H272" s="510"/>
      <c r="I272" s="510"/>
      <c r="J272" s="123"/>
      <c r="K272" s="123"/>
    </row>
    <row r="273" spans="1:11" ht="12.75">
      <c r="A273" s="123"/>
      <c r="B273" s="123"/>
      <c r="C273" s="123"/>
      <c r="D273" s="123"/>
      <c r="E273" s="123"/>
      <c r="F273" s="123"/>
      <c r="G273" s="510"/>
      <c r="H273" s="510"/>
      <c r="I273" s="510"/>
      <c r="J273" s="123"/>
      <c r="K273" s="123"/>
    </row>
    <row r="274" spans="1:11" ht="12.75">
      <c r="A274" s="123"/>
      <c r="B274" s="123"/>
      <c r="C274" s="123"/>
      <c r="D274" s="123"/>
      <c r="E274" s="123"/>
      <c r="F274" s="123"/>
      <c r="G274" s="510"/>
      <c r="H274" s="510"/>
      <c r="I274" s="510"/>
      <c r="J274" s="123"/>
      <c r="K274" s="123"/>
    </row>
    <row r="275" spans="1:11" ht="12.75">
      <c r="A275" s="123"/>
      <c r="B275" s="123"/>
      <c r="C275" s="123"/>
      <c r="D275" s="123"/>
      <c r="E275" s="123"/>
      <c r="F275" s="123"/>
      <c r="G275" s="510"/>
      <c r="H275" s="510"/>
      <c r="I275" s="510"/>
      <c r="J275" s="123"/>
      <c r="K275" s="123"/>
    </row>
    <row r="276" spans="1:11" ht="12.75">
      <c r="A276" s="123"/>
      <c r="B276" s="123"/>
      <c r="C276" s="123"/>
      <c r="D276" s="123"/>
      <c r="E276" s="123"/>
      <c r="F276" s="123"/>
      <c r="G276" s="510"/>
      <c r="H276" s="510"/>
      <c r="I276" s="510"/>
      <c r="J276" s="123"/>
      <c r="K276" s="123"/>
    </row>
    <row r="277" spans="1:11" ht="12.75">
      <c r="A277" s="123"/>
      <c r="B277" s="123"/>
      <c r="C277" s="123"/>
      <c r="D277" s="123"/>
      <c r="E277" s="123"/>
      <c r="F277" s="123"/>
      <c r="G277" s="510"/>
      <c r="H277" s="510"/>
      <c r="I277" s="510"/>
      <c r="J277" s="123"/>
      <c r="K277" s="123"/>
    </row>
    <row r="278" spans="1:11" ht="12.75">
      <c r="A278" s="123"/>
      <c r="B278" s="123"/>
      <c r="C278" s="123"/>
      <c r="D278" s="123"/>
      <c r="E278" s="123"/>
      <c r="F278" s="123"/>
      <c r="G278" s="510"/>
      <c r="H278" s="510"/>
      <c r="I278" s="510"/>
      <c r="J278" s="123"/>
      <c r="K278" s="123"/>
    </row>
    <row r="279" spans="1:11" ht="12.75">
      <c r="A279" s="123"/>
      <c r="B279" s="123"/>
      <c r="C279" s="123"/>
      <c r="D279" s="123"/>
      <c r="E279" s="123"/>
      <c r="F279" s="123"/>
      <c r="G279" s="510"/>
      <c r="H279" s="510"/>
      <c r="I279" s="510"/>
      <c r="J279" s="123"/>
      <c r="K279" s="123"/>
    </row>
    <row r="280" spans="1:11" ht="12.75">
      <c r="A280" s="123"/>
      <c r="B280" s="123"/>
      <c r="C280" s="123"/>
      <c r="D280" s="123"/>
      <c r="E280" s="123"/>
      <c r="F280" s="123"/>
      <c r="G280" s="510"/>
      <c r="H280" s="510"/>
      <c r="I280" s="510"/>
      <c r="J280" s="123"/>
      <c r="K280" s="123"/>
    </row>
    <row r="281" spans="1:11" ht="12.75">
      <c r="A281" s="123"/>
      <c r="B281" s="123"/>
      <c r="C281" s="123"/>
      <c r="D281" s="123"/>
      <c r="E281" s="123"/>
      <c r="F281" s="123"/>
      <c r="G281" s="510"/>
      <c r="H281" s="510"/>
      <c r="I281" s="510"/>
      <c r="J281" s="123"/>
      <c r="K281" s="123"/>
    </row>
    <row r="282" spans="1:11" ht="12.75">
      <c r="A282" s="123"/>
      <c r="B282" s="123"/>
      <c r="C282" s="123"/>
      <c r="D282" s="123"/>
      <c r="E282" s="123"/>
      <c r="F282" s="123"/>
      <c r="G282" s="510"/>
      <c r="H282" s="510"/>
      <c r="I282" s="510"/>
      <c r="J282" s="123"/>
      <c r="K282" s="123"/>
    </row>
    <row r="283" spans="1:11" ht="12.75">
      <c r="A283" s="123"/>
      <c r="B283" s="123"/>
      <c r="C283" s="123"/>
      <c r="D283" s="123"/>
      <c r="E283" s="123"/>
      <c r="F283" s="123"/>
      <c r="G283" s="510"/>
      <c r="H283" s="510"/>
      <c r="I283" s="510"/>
      <c r="J283" s="123"/>
      <c r="K283" s="123"/>
    </row>
    <row r="284" spans="1:11" ht="12.75">
      <c r="A284" s="123"/>
      <c r="B284" s="123"/>
      <c r="C284" s="123"/>
      <c r="D284" s="123"/>
      <c r="E284" s="123"/>
      <c r="F284" s="123"/>
      <c r="G284" s="510"/>
      <c r="H284" s="510"/>
      <c r="I284" s="510"/>
      <c r="J284" s="123"/>
      <c r="K284" s="123"/>
    </row>
    <row r="285" spans="1:11" ht="12.75">
      <c r="A285" s="123"/>
      <c r="B285" s="123"/>
      <c r="C285" s="123"/>
      <c r="D285" s="123"/>
      <c r="E285" s="123"/>
      <c r="F285" s="123"/>
      <c r="G285" s="510"/>
      <c r="H285" s="510"/>
      <c r="I285" s="510"/>
      <c r="J285" s="123"/>
      <c r="K285" s="123"/>
    </row>
    <row r="286" spans="1:11" ht="12.75">
      <c r="A286" s="123"/>
      <c r="B286" s="123"/>
      <c r="C286" s="123"/>
      <c r="D286" s="123"/>
      <c r="E286" s="123"/>
      <c r="F286" s="123"/>
      <c r="G286" s="510"/>
      <c r="H286" s="510"/>
      <c r="I286" s="510"/>
      <c r="J286" s="123"/>
      <c r="K286" s="123"/>
    </row>
    <row r="287" spans="1:11" ht="12.75">
      <c r="A287" s="123"/>
      <c r="B287" s="123"/>
      <c r="C287" s="123"/>
      <c r="D287" s="123"/>
      <c r="E287" s="123"/>
      <c r="F287" s="123"/>
      <c r="G287" s="510"/>
      <c r="H287" s="510"/>
      <c r="I287" s="510"/>
      <c r="J287" s="123"/>
      <c r="K287" s="123"/>
    </row>
    <row r="288" spans="1:11" ht="12.75">
      <c r="A288" s="123"/>
      <c r="B288" s="123"/>
      <c r="C288" s="123"/>
      <c r="D288" s="123"/>
      <c r="E288" s="123"/>
      <c r="F288" s="123"/>
      <c r="G288" s="510"/>
      <c r="H288" s="510"/>
      <c r="I288" s="510"/>
      <c r="J288" s="123"/>
      <c r="K288" s="123"/>
    </row>
    <row r="289" spans="1:11" ht="12.75">
      <c r="A289" s="123"/>
      <c r="B289" s="123"/>
      <c r="C289" s="123"/>
      <c r="D289" s="123"/>
      <c r="E289" s="123"/>
      <c r="F289" s="123"/>
      <c r="G289" s="510"/>
      <c r="H289" s="510"/>
      <c r="I289" s="510"/>
      <c r="J289" s="123"/>
      <c r="K289" s="123"/>
    </row>
    <row r="290" spans="1:11" ht="12.75">
      <c r="A290" s="123"/>
      <c r="B290" s="123"/>
      <c r="C290" s="123"/>
      <c r="D290" s="123"/>
      <c r="E290" s="123"/>
      <c r="F290" s="123"/>
      <c r="G290" s="510"/>
      <c r="H290" s="510"/>
      <c r="I290" s="510"/>
      <c r="J290" s="123"/>
      <c r="K290" s="123"/>
    </row>
    <row r="291" spans="1:11" ht="12.75">
      <c r="A291" s="123"/>
      <c r="B291" s="123"/>
      <c r="C291" s="123"/>
      <c r="D291" s="123"/>
      <c r="E291" s="123"/>
      <c r="F291" s="123"/>
      <c r="G291" s="510"/>
      <c r="H291" s="510"/>
      <c r="I291" s="510"/>
      <c r="J291" s="123"/>
      <c r="K291" s="123"/>
    </row>
    <row r="292" spans="1:11" ht="12.75">
      <c r="A292" s="123"/>
      <c r="B292" s="123"/>
      <c r="C292" s="123"/>
      <c r="D292" s="123"/>
      <c r="E292" s="123"/>
      <c r="F292" s="123"/>
      <c r="G292" s="510"/>
      <c r="H292" s="510"/>
      <c r="I292" s="510"/>
      <c r="J292" s="123"/>
      <c r="K292" s="123"/>
    </row>
    <row r="293" spans="1:11" ht="12.75">
      <c r="A293" s="123"/>
      <c r="B293" s="123"/>
      <c r="C293" s="123"/>
      <c r="D293" s="123"/>
      <c r="E293" s="123"/>
      <c r="F293" s="123"/>
      <c r="G293" s="510"/>
      <c r="H293" s="510"/>
      <c r="I293" s="510"/>
      <c r="J293" s="123"/>
      <c r="K293" s="123"/>
    </row>
    <row r="294" spans="1:11" ht="12.75">
      <c r="A294" s="123"/>
      <c r="B294" s="123"/>
      <c r="C294" s="123"/>
      <c r="D294" s="123"/>
      <c r="E294" s="123"/>
      <c r="F294" s="123"/>
      <c r="G294" s="510"/>
      <c r="H294" s="510"/>
      <c r="I294" s="510"/>
      <c r="J294" s="123"/>
      <c r="K294" s="123"/>
    </row>
    <row r="295" spans="1:11" ht="12.75">
      <c r="A295" s="123"/>
      <c r="B295" s="123"/>
      <c r="C295" s="123"/>
      <c r="D295" s="123"/>
      <c r="E295" s="123"/>
      <c r="F295" s="123"/>
      <c r="G295" s="510"/>
      <c r="H295" s="510"/>
      <c r="I295" s="510"/>
      <c r="J295" s="123"/>
      <c r="K295" s="123"/>
    </row>
    <row r="296" spans="1:11" ht="12.75">
      <c r="A296" s="123"/>
      <c r="B296" s="123"/>
      <c r="C296" s="123"/>
      <c r="D296" s="123"/>
      <c r="E296" s="123"/>
      <c r="F296" s="123"/>
      <c r="G296" s="510"/>
      <c r="H296" s="510"/>
      <c r="I296" s="510"/>
      <c r="J296" s="123"/>
      <c r="K296" s="123"/>
    </row>
    <row r="297" spans="1:11" ht="12.75">
      <c r="A297" s="123"/>
      <c r="B297" s="123"/>
      <c r="C297" s="123"/>
      <c r="D297" s="123"/>
      <c r="E297" s="123"/>
      <c r="F297" s="123"/>
      <c r="G297" s="510"/>
      <c r="H297" s="510"/>
      <c r="I297" s="510"/>
      <c r="J297" s="123"/>
      <c r="K297" s="123"/>
    </row>
    <row r="298" spans="1:11" ht="12.75">
      <c r="A298" s="123"/>
      <c r="B298" s="123"/>
      <c r="C298" s="123"/>
      <c r="D298" s="123"/>
      <c r="E298" s="123"/>
      <c r="F298" s="123"/>
      <c r="G298" s="510"/>
      <c r="H298" s="510"/>
      <c r="I298" s="510"/>
      <c r="J298" s="123"/>
      <c r="K298" s="123"/>
    </row>
    <row r="299" spans="1:11" ht="12.75">
      <c r="A299" s="123"/>
      <c r="B299" s="123"/>
      <c r="C299" s="123"/>
      <c r="D299" s="123"/>
      <c r="E299" s="123"/>
      <c r="F299" s="123"/>
      <c r="G299" s="510"/>
      <c r="H299" s="510"/>
      <c r="I299" s="510"/>
      <c r="J299" s="123"/>
      <c r="K299" s="123"/>
    </row>
    <row r="300" spans="1:11" ht="12.75">
      <c r="A300" s="123"/>
      <c r="B300" s="123"/>
      <c r="C300" s="123"/>
      <c r="D300" s="123"/>
      <c r="E300" s="123"/>
      <c r="F300" s="123"/>
      <c r="G300" s="510"/>
      <c r="H300" s="510"/>
      <c r="I300" s="510"/>
      <c r="J300" s="123"/>
      <c r="K300" s="123"/>
    </row>
    <row r="301" spans="1:11" ht="12.75">
      <c r="A301" s="123"/>
      <c r="B301" s="123"/>
      <c r="C301" s="123"/>
      <c r="D301" s="123"/>
      <c r="E301" s="123"/>
      <c r="F301" s="123"/>
      <c r="G301" s="510"/>
      <c r="H301" s="510"/>
      <c r="I301" s="510"/>
      <c r="J301" s="123"/>
      <c r="K301" s="123"/>
    </row>
    <row r="302" spans="1:11" ht="12.75">
      <c r="A302" s="123"/>
      <c r="B302" s="123"/>
      <c r="C302" s="123"/>
      <c r="D302" s="123"/>
      <c r="E302" s="123"/>
      <c r="F302" s="123"/>
      <c r="G302" s="510"/>
      <c r="H302" s="510"/>
      <c r="I302" s="510"/>
      <c r="J302" s="123"/>
      <c r="K302" s="123"/>
    </row>
    <row r="303" spans="1:11" ht="12.75">
      <c r="A303" s="123"/>
      <c r="B303" s="123"/>
      <c r="C303" s="123"/>
      <c r="D303" s="123"/>
      <c r="E303" s="123"/>
      <c r="F303" s="123"/>
      <c r="G303" s="510"/>
      <c r="H303" s="510"/>
      <c r="I303" s="510"/>
      <c r="J303" s="123"/>
      <c r="K303" s="123"/>
    </row>
    <row r="304" spans="1:11" ht="12.75">
      <c r="A304" s="123"/>
      <c r="B304" s="123"/>
      <c r="C304" s="123"/>
      <c r="D304" s="123"/>
      <c r="E304" s="123"/>
      <c r="F304" s="123"/>
      <c r="G304" s="510"/>
      <c r="H304" s="510"/>
      <c r="I304" s="510"/>
      <c r="J304" s="123"/>
      <c r="K304" s="123"/>
    </row>
    <row r="305" spans="1:11" ht="12.75">
      <c r="A305" s="123"/>
      <c r="B305" s="123"/>
      <c r="C305" s="123"/>
      <c r="D305" s="123"/>
      <c r="E305" s="123"/>
      <c r="F305" s="123"/>
      <c r="G305" s="510"/>
      <c r="H305" s="510"/>
      <c r="I305" s="510"/>
      <c r="J305" s="123"/>
      <c r="K305" s="123"/>
    </row>
    <row r="306" spans="1:11" ht="12.75">
      <c r="A306" s="123"/>
      <c r="B306" s="123"/>
      <c r="C306" s="123"/>
      <c r="D306" s="123"/>
      <c r="E306" s="123"/>
      <c r="F306" s="123"/>
      <c r="G306" s="510"/>
      <c r="H306" s="510"/>
      <c r="I306" s="510"/>
      <c r="J306" s="123"/>
      <c r="K306" s="123"/>
    </row>
    <row r="307" spans="1:11" ht="12.75">
      <c r="A307" s="123"/>
      <c r="B307" s="123"/>
      <c r="C307" s="123"/>
      <c r="D307" s="123"/>
      <c r="E307" s="123"/>
      <c r="F307" s="123"/>
      <c r="G307" s="510"/>
      <c r="H307" s="510"/>
      <c r="I307" s="510"/>
      <c r="J307" s="123"/>
      <c r="K307" s="123"/>
    </row>
    <row r="308" spans="1:11" ht="12.75">
      <c r="A308" s="123"/>
      <c r="B308" s="123"/>
      <c r="C308" s="123"/>
      <c r="D308" s="123"/>
      <c r="E308" s="123"/>
      <c r="F308" s="123"/>
      <c r="G308" s="510"/>
      <c r="H308" s="510"/>
      <c r="I308" s="510"/>
      <c r="J308" s="123"/>
      <c r="K308" s="123"/>
    </row>
    <row r="309" spans="1:11" ht="12.75">
      <c r="A309" s="123"/>
      <c r="B309" s="123"/>
      <c r="C309" s="123"/>
      <c r="D309" s="123"/>
      <c r="E309" s="123"/>
      <c r="F309" s="123"/>
      <c r="G309" s="510"/>
      <c r="H309" s="510"/>
      <c r="I309" s="510"/>
      <c r="J309" s="123"/>
      <c r="K309" s="123"/>
    </row>
    <row r="310" spans="1:11" ht="12.75">
      <c r="A310" s="123"/>
      <c r="B310" s="123"/>
      <c r="C310" s="123"/>
      <c r="D310" s="123"/>
      <c r="E310" s="123"/>
      <c r="F310" s="123"/>
      <c r="G310" s="510"/>
      <c r="H310" s="510"/>
      <c r="I310" s="510"/>
      <c r="J310" s="123"/>
      <c r="K310" s="123"/>
    </row>
    <row r="311" spans="1:11" ht="12.75">
      <c r="A311" s="123"/>
      <c r="B311" s="123"/>
      <c r="C311" s="123"/>
      <c r="D311" s="123"/>
      <c r="E311" s="123"/>
      <c r="F311" s="123"/>
      <c r="G311" s="510"/>
      <c r="H311" s="510"/>
      <c r="I311" s="510"/>
      <c r="J311" s="123"/>
      <c r="K311" s="123"/>
    </row>
    <row r="312" spans="1:11" ht="12.75">
      <c r="A312" s="123"/>
      <c r="B312" s="123"/>
      <c r="C312" s="123"/>
      <c r="D312" s="123"/>
      <c r="E312" s="123"/>
      <c r="F312" s="123"/>
      <c r="G312" s="510"/>
      <c r="H312" s="510"/>
      <c r="I312" s="510"/>
      <c r="J312" s="123"/>
      <c r="K312" s="123"/>
    </row>
    <row r="313" spans="1:11" ht="12.75">
      <c r="A313" s="123"/>
      <c r="B313" s="123"/>
      <c r="C313" s="123"/>
      <c r="D313" s="123"/>
      <c r="E313" s="123"/>
      <c r="F313" s="123"/>
      <c r="G313" s="510"/>
      <c r="H313" s="510"/>
      <c r="I313" s="510"/>
      <c r="J313" s="123"/>
      <c r="K313" s="123"/>
    </row>
    <row r="314" spans="1:11" ht="12.75">
      <c r="A314" s="123"/>
      <c r="B314" s="123"/>
      <c r="C314" s="123"/>
      <c r="D314" s="123"/>
      <c r="E314" s="123"/>
      <c r="F314" s="123"/>
      <c r="G314" s="510"/>
      <c r="H314" s="510"/>
      <c r="I314" s="510"/>
      <c r="J314" s="123"/>
      <c r="K314" s="123"/>
    </row>
    <row r="315" spans="1:11" ht="12.75">
      <c r="A315" s="123"/>
      <c r="B315" s="123"/>
      <c r="C315" s="123"/>
      <c r="D315" s="123"/>
      <c r="E315" s="123"/>
      <c r="F315" s="123"/>
      <c r="G315" s="510"/>
      <c r="H315" s="510"/>
      <c r="I315" s="510"/>
      <c r="J315" s="123"/>
      <c r="K315" s="123"/>
    </row>
    <row r="316" spans="1:11" ht="12.75">
      <c r="A316" s="123"/>
      <c r="B316" s="123"/>
      <c r="C316" s="123"/>
      <c r="D316" s="123"/>
      <c r="E316" s="123"/>
      <c r="F316" s="123"/>
      <c r="G316" s="510"/>
      <c r="H316" s="510"/>
      <c r="I316" s="510"/>
      <c r="J316" s="123"/>
      <c r="K316" s="123"/>
    </row>
    <row r="317" spans="1:11" ht="12.75">
      <c r="A317" s="123"/>
      <c r="B317" s="123"/>
      <c r="C317" s="123"/>
      <c r="D317" s="123"/>
      <c r="E317" s="123"/>
      <c r="F317" s="123"/>
      <c r="G317" s="510"/>
      <c r="H317" s="510"/>
      <c r="I317" s="510"/>
      <c r="J317" s="123"/>
      <c r="K317" s="123"/>
    </row>
    <row r="318" spans="1:11" ht="12.75">
      <c r="A318" s="123"/>
      <c r="B318" s="123"/>
      <c r="C318" s="123"/>
      <c r="D318" s="123"/>
      <c r="E318" s="123"/>
      <c r="F318" s="123"/>
      <c r="G318" s="510"/>
      <c r="H318" s="510"/>
      <c r="I318" s="510"/>
      <c r="J318" s="123"/>
      <c r="K318" s="123"/>
    </row>
    <row r="319" spans="1:11" ht="12.75">
      <c r="A319" s="123"/>
      <c r="B319" s="123"/>
      <c r="C319" s="123"/>
      <c r="D319" s="123"/>
      <c r="E319" s="123"/>
      <c r="F319" s="123"/>
      <c r="G319" s="510"/>
      <c r="H319" s="510"/>
      <c r="I319" s="510"/>
      <c r="J319" s="123"/>
      <c r="K319" s="123"/>
    </row>
    <row r="320" spans="1:11" ht="12.75">
      <c r="A320" s="123"/>
      <c r="B320" s="123"/>
      <c r="C320" s="123"/>
      <c r="D320" s="123"/>
      <c r="E320" s="123"/>
      <c r="F320" s="123"/>
      <c r="G320" s="510"/>
      <c r="H320" s="510"/>
      <c r="I320" s="510"/>
      <c r="J320" s="123"/>
      <c r="K320" s="123"/>
    </row>
    <row r="321" spans="1:11" ht="12.75">
      <c r="A321" s="123"/>
      <c r="B321" s="123"/>
      <c r="C321" s="123"/>
      <c r="D321" s="123"/>
      <c r="E321" s="123"/>
      <c r="F321" s="123"/>
      <c r="G321" s="510"/>
      <c r="H321" s="510"/>
      <c r="I321" s="510"/>
      <c r="J321" s="123"/>
      <c r="K321" s="123"/>
    </row>
    <row r="322" spans="1:11" ht="12.75">
      <c r="A322" s="123"/>
      <c r="B322" s="123"/>
      <c r="C322" s="123"/>
      <c r="D322" s="123"/>
      <c r="E322" s="123"/>
      <c r="F322" s="123"/>
      <c r="G322" s="510"/>
      <c r="H322" s="510"/>
      <c r="I322" s="510"/>
      <c r="J322" s="123"/>
      <c r="K322" s="123"/>
    </row>
    <row r="323" spans="1:11" ht="12.75">
      <c r="A323" s="123"/>
      <c r="B323" s="123"/>
      <c r="C323" s="123"/>
      <c r="D323" s="123"/>
      <c r="E323" s="123"/>
      <c r="F323" s="123"/>
      <c r="G323" s="510"/>
      <c r="H323" s="510"/>
      <c r="I323" s="510"/>
      <c r="J323" s="123"/>
      <c r="K323" s="123"/>
    </row>
    <row r="324" spans="1:11" ht="12.75">
      <c r="A324" s="123"/>
      <c r="B324" s="123"/>
      <c r="C324" s="123"/>
      <c r="D324" s="123"/>
      <c r="E324" s="123"/>
      <c r="F324" s="123"/>
      <c r="G324" s="510"/>
      <c r="H324" s="510"/>
      <c r="I324" s="510"/>
      <c r="J324" s="123"/>
      <c r="K324" s="123"/>
    </row>
    <row r="325" spans="1:11" ht="12.75">
      <c r="A325" s="123"/>
      <c r="B325" s="123"/>
      <c r="C325" s="123"/>
      <c r="D325" s="123"/>
      <c r="E325" s="123"/>
      <c r="F325" s="123"/>
      <c r="G325" s="510"/>
      <c r="H325" s="510"/>
      <c r="I325" s="510"/>
      <c r="J325" s="123"/>
      <c r="K325" s="123"/>
    </row>
    <row r="326" spans="1:11" ht="12.75">
      <c r="A326" s="123"/>
      <c r="B326" s="123"/>
      <c r="C326" s="123"/>
      <c r="D326" s="123"/>
      <c r="E326" s="123"/>
      <c r="F326" s="123"/>
      <c r="G326" s="510"/>
      <c r="H326" s="510"/>
      <c r="I326" s="510"/>
      <c r="J326" s="123"/>
      <c r="K326" s="123"/>
    </row>
    <row r="327" spans="1:11" ht="12.75">
      <c r="A327" s="123"/>
      <c r="B327" s="123"/>
      <c r="C327" s="123"/>
      <c r="D327" s="123"/>
      <c r="E327" s="123"/>
      <c r="F327" s="123"/>
      <c r="G327" s="510"/>
      <c r="H327" s="510"/>
      <c r="I327" s="510"/>
      <c r="J327" s="123"/>
      <c r="K327" s="123"/>
    </row>
    <row r="328" spans="1:11" ht="12.75">
      <c r="A328" s="123"/>
      <c r="B328" s="123"/>
      <c r="C328" s="123"/>
      <c r="D328" s="123"/>
      <c r="E328" s="123"/>
      <c r="F328" s="123"/>
      <c r="G328" s="510"/>
      <c r="H328" s="510"/>
      <c r="I328" s="510"/>
      <c r="J328" s="123"/>
      <c r="K328" s="123"/>
    </row>
    <row r="329" spans="1:11" ht="12.75">
      <c r="A329" s="123"/>
      <c r="B329" s="123"/>
      <c r="C329" s="123"/>
      <c r="D329" s="123"/>
      <c r="E329" s="123"/>
      <c r="F329" s="123"/>
      <c r="G329" s="510"/>
      <c r="H329" s="510"/>
      <c r="I329" s="510"/>
      <c r="J329" s="123"/>
      <c r="K329" s="123"/>
    </row>
    <row r="330" spans="1:11" ht="12.75">
      <c r="A330" s="123"/>
      <c r="B330" s="123"/>
      <c r="C330" s="123"/>
      <c r="D330" s="123"/>
      <c r="E330" s="123"/>
      <c r="F330" s="123"/>
      <c r="G330" s="510"/>
      <c r="H330" s="510"/>
      <c r="I330" s="510"/>
      <c r="J330" s="123"/>
      <c r="K330" s="123"/>
    </row>
    <row r="331" spans="1:11" ht="12.75">
      <c r="A331" s="123"/>
      <c r="B331" s="123"/>
      <c r="C331" s="123"/>
      <c r="D331" s="123"/>
      <c r="E331" s="123"/>
      <c r="F331" s="123"/>
      <c r="G331" s="510"/>
      <c r="H331" s="510"/>
      <c r="I331" s="510"/>
      <c r="J331" s="123"/>
      <c r="K331" s="123"/>
    </row>
    <row r="332" spans="1:11" ht="12.75">
      <c r="A332" s="123"/>
      <c r="B332" s="123"/>
      <c r="C332" s="123"/>
      <c r="D332" s="123"/>
      <c r="E332" s="123"/>
      <c r="F332" s="123"/>
      <c r="G332" s="510"/>
      <c r="H332" s="510"/>
      <c r="I332" s="510"/>
      <c r="J332" s="123"/>
      <c r="K332" s="123"/>
    </row>
    <row r="333" spans="1:11" ht="12.75">
      <c r="A333" s="123"/>
      <c r="B333" s="123"/>
      <c r="C333" s="123"/>
      <c r="D333" s="123"/>
      <c r="E333" s="123"/>
      <c r="F333" s="123"/>
      <c r="G333" s="510"/>
      <c r="H333" s="510"/>
      <c r="I333" s="510"/>
      <c r="J333" s="123"/>
      <c r="K333" s="123"/>
    </row>
    <row r="334" spans="1:11" ht="12.75">
      <c r="A334" s="123"/>
      <c r="B334" s="123"/>
      <c r="C334" s="123"/>
      <c r="D334" s="123"/>
      <c r="E334" s="123"/>
      <c r="F334" s="123"/>
      <c r="G334" s="510"/>
      <c r="H334" s="510"/>
      <c r="I334" s="510"/>
      <c r="J334" s="123"/>
      <c r="K334" s="123"/>
    </row>
    <row r="335" spans="1:11" ht="12.75">
      <c r="A335" s="123"/>
      <c r="B335" s="123"/>
      <c r="C335" s="123"/>
      <c r="D335" s="123"/>
      <c r="E335" s="123"/>
      <c r="F335" s="123"/>
      <c r="G335" s="510"/>
      <c r="H335" s="510"/>
      <c r="I335" s="510"/>
      <c r="J335" s="123"/>
      <c r="K335" s="123"/>
    </row>
    <row r="336" spans="1:11" ht="12.75">
      <c r="A336" s="123"/>
      <c r="B336" s="123"/>
      <c r="C336" s="123"/>
      <c r="D336" s="123"/>
      <c r="E336" s="123"/>
      <c r="F336" s="123"/>
      <c r="G336" s="510"/>
      <c r="H336" s="510"/>
      <c r="I336" s="510"/>
      <c r="J336" s="123"/>
      <c r="K336" s="123"/>
    </row>
    <row r="337" spans="1:11" ht="12.75">
      <c r="A337" s="123"/>
      <c r="B337" s="123"/>
      <c r="C337" s="123"/>
      <c r="D337" s="123"/>
      <c r="E337" s="123"/>
      <c r="F337" s="123"/>
      <c r="G337" s="510"/>
      <c r="H337" s="510"/>
      <c r="I337" s="510"/>
      <c r="J337" s="123"/>
      <c r="K337" s="123"/>
    </row>
    <row r="338" spans="1:11" ht="12.75">
      <c r="A338" s="123"/>
      <c r="B338" s="123"/>
      <c r="C338" s="123"/>
      <c r="D338" s="123"/>
      <c r="E338" s="123"/>
      <c r="F338" s="123"/>
      <c r="G338" s="510"/>
      <c r="H338" s="510"/>
      <c r="I338" s="510"/>
      <c r="J338" s="123"/>
      <c r="K338" s="123"/>
    </row>
    <row r="339" spans="1:11" ht="12.75">
      <c r="A339" s="123"/>
      <c r="B339" s="123"/>
      <c r="C339" s="123"/>
      <c r="D339" s="123"/>
      <c r="E339" s="123"/>
      <c r="F339" s="123"/>
      <c r="G339" s="510"/>
      <c r="H339" s="510"/>
      <c r="I339" s="510"/>
      <c r="J339" s="123"/>
      <c r="K339" s="123"/>
    </row>
    <row r="340" spans="1:11" ht="12.75">
      <c r="A340" s="123"/>
      <c r="B340" s="123"/>
      <c r="C340" s="123"/>
      <c r="D340" s="123"/>
      <c r="E340" s="123"/>
      <c r="F340" s="123"/>
      <c r="G340" s="510"/>
      <c r="H340" s="510"/>
      <c r="I340" s="510"/>
      <c r="J340" s="123"/>
      <c r="K340" s="123"/>
    </row>
    <row r="341" spans="1:11" ht="12.75">
      <c r="A341" s="123"/>
      <c r="B341" s="123"/>
      <c r="C341" s="123"/>
      <c r="D341" s="123"/>
      <c r="E341" s="123"/>
      <c r="F341" s="123"/>
      <c r="G341" s="510"/>
      <c r="H341" s="510"/>
      <c r="I341" s="510"/>
      <c r="J341" s="123"/>
      <c r="K341" s="123"/>
    </row>
    <row r="342" spans="1:11" ht="12.75">
      <c r="A342" s="123"/>
      <c r="B342" s="123"/>
      <c r="C342" s="123"/>
      <c r="D342" s="123"/>
      <c r="E342" s="123"/>
      <c r="F342" s="123"/>
      <c r="G342" s="510"/>
      <c r="H342" s="510"/>
      <c r="I342" s="510"/>
      <c r="J342" s="123"/>
      <c r="K342" s="123"/>
    </row>
    <row r="343" spans="1:11" ht="12.75">
      <c r="A343" s="123"/>
      <c r="B343" s="123"/>
      <c r="C343" s="123"/>
      <c r="D343" s="123"/>
      <c r="E343" s="123"/>
      <c r="F343" s="123"/>
      <c r="G343" s="510"/>
      <c r="H343" s="510"/>
      <c r="I343" s="510"/>
      <c r="J343" s="123"/>
      <c r="K343" s="123"/>
    </row>
    <row r="344" spans="1:11" ht="12.75">
      <c r="A344" s="123"/>
      <c r="B344" s="123"/>
      <c r="C344" s="123"/>
      <c r="D344" s="123"/>
      <c r="E344" s="123"/>
      <c r="F344" s="123"/>
      <c r="G344" s="510"/>
      <c r="H344" s="510"/>
      <c r="I344" s="510"/>
      <c r="J344" s="123"/>
      <c r="K344" s="123"/>
    </row>
    <row r="345" spans="1:11" ht="12.75">
      <c r="A345" s="123"/>
      <c r="B345" s="123"/>
      <c r="C345" s="123"/>
      <c r="D345" s="123"/>
      <c r="E345" s="123"/>
      <c r="F345" s="123"/>
      <c r="G345" s="510"/>
      <c r="H345" s="510"/>
      <c r="I345" s="510"/>
      <c r="J345" s="123"/>
      <c r="K345" s="123"/>
    </row>
    <row r="346" spans="1:11" ht="12.75">
      <c r="A346" s="123"/>
      <c r="B346" s="123"/>
      <c r="C346" s="123"/>
      <c r="D346" s="123"/>
      <c r="E346" s="123"/>
      <c r="F346" s="123"/>
      <c r="G346" s="510"/>
      <c r="H346" s="510"/>
      <c r="I346" s="510"/>
      <c r="J346" s="123"/>
      <c r="K346" s="123"/>
    </row>
    <row r="347" spans="1:11" ht="12.75">
      <c r="A347" s="123"/>
      <c r="B347" s="123"/>
      <c r="C347" s="123"/>
      <c r="D347" s="123"/>
      <c r="E347" s="123"/>
      <c r="F347" s="123"/>
      <c r="G347" s="510"/>
      <c r="H347" s="510"/>
      <c r="I347" s="510"/>
      <c r="J347" s="123"/>
      <c r="K347" s="123"/>
    </row>
    <row r="348" spans="1:11" ht="12.75">
      <c r="A348" s="123"/>
      <c r="B348" s="123"/>
      <c r="C348" s="123"/>
      <c r="D348" s="123"/>
      <c r="E348" s="123"/>
      <c r="F348" s="123"/>
      <c r="G348" s="510"/>
      <c r="H348" s="510"/>
      <c r="I348" s="510"/>
      <c r="J348" s="123"/>
      <c r="K348" s="123"/>
    </row>
    <row r="349" spans="1:11" ht="12.75">
      <c r="A349" s="123"/>
      <c r="B349" s="123"/>
      <c r="C349" s="123"/>
      <c r="D349" s="123"/>
      <c r="E349" s="123"/>
      <c r="F349" s="123"/>
      <c r="G349" s="510"/>
      <c r="H349" s="510"/>
      <c r="I349" s="510"/>
      <c r="J349" s="123"/>
      <c r="K349" s="123"/>
    </row>
    <row r="350" spans="1:11" ht="12.75">
      <c r="A350" s="123"/>
      <c r="B350" s="123"/>
      <c r="C350" s="123"/>
      <c r="D350" s="123"/>
      <c r="E350" s="123"/>
      <c r="F350" s="123"/>
      <c r="G350" s="510"/>
      <c r="H350" s="510"/>
      <c r="I350" s="510"/>
      <c r="J350" s="123"/>
      <c r="K350" s="123"/>
    </row>
    <row r="351" spans="1:11" ht="12.75">
      <c r="A351" s="123"/>
      <c r="B351" s="123"/>
      <c r="C351" s="123"/>
      <c r="D351" s="123"/>
      <c r="E351" s="123"/>
      <c r="F351" s="123"/>
      <c r="G351" s="510"/>
      <c r="H351" s="510"/>
      <c r="I351" s="510"/>
      <c r="J351" s="123"/>
      <c r="K351" s="123"/>
    </row>
    <row r="352" spans="1:11" ht="12.75">
      <c r="A352" s="123"/>
      <c r="B352" s="123"/>
      <c r="C352" s="123"/>
      <c r="D352" s="123"/>
      <c r="E352" s="123"/>
      <c r="F352" s="123"/>
      <c r="G352" s="510"/>
      <c r="H352" s="510"/>
      <c r="I352" s="510"/>
      <c r="J352" s="123"/>
      <c r="K352" s="123"/>
    </row>
    <row r="353" spans="1:11" ht="12.75">
      <c r="A353" s="123"/>
      <c r="B353" s="123"/>
      <c r="C353" s="123"/>
      <c r="D353" s="123"/>
      <c r="E353" s="123"/>
      <c r="F353" s="123"/>
      <c r="G353" s="510"/>
      <c r="H353" s="510"/>
      <c r="I353" s="510"/>
      <c r="J353" s="123"/>
      <c r="K353" s="123"/>
    </row>
    <row r="354" spans="1:11" ht="12.75">
      <c r="A354" s="123"/>
      <c r="B354" s="123"/>
      <c r="C354" s="123"/>
      <c r="D354" s="123"/>
      <c r="E354" s="123"/>
      <c r="F354" s="123"/>
      <c r="G354" s="510"/>
      <c r="H354" s="510"/>
      <c r="I354" s="510"/>
      <c r="J354" s="123"/>
      <c r="K354" s="123"/>
    </row>
    <row r="355" spans="1:11" ht="12.75">
      <c r="A355" s="123"/>
      <c r="B355" s="123"/>
      <c r="C355" s="123"/>
      <c r="D355" s="123"/>
      <c r="E355" s="123"/>
      <c r="F355" s="123"/>
      <c r="G355" s="510"/>
      <c r="H355" s="510"/>
      <c r="I355" s="510"/>
      <c r="J355" s="123"/>
      <c r="K355" s="123"/>
    </row>
    <row r="356" spans="1:11" ht="12.75">
      <c r="A356" s="123"/>
      <c r="B356" s="123"/>
      <c r="C356" s="123"/>
      <c r="D356" s="123"/>
      <c r="E356" s="123"/>
      <c r="F356" s="123"/>
      <c r="G356" s="510"/>
      <c r="H356" s="510"/>
      <c r="I356" s="510"/>
      <c r="J356" s="123"/>
      <c r="K356" s="123"/>
    </row>
    <row r="357" spans="1:11" ht="12.75">
      <c r="A357" s="123"/>
      <c r="B357" s="123"/>
      <c r="C357" s="123"/>
      <c r="D357" s="123"/>
      <c r="E357" s="123"/>
      <c r="F357" s="123"/>
      <c r="G357" s="510"/>
      <c r="H357" s="510"/>
      <c r="I357" s="510"/>
      <c r="J357" s="123"/>
      <c r="K357" s="123"/>
    </row>
    <row r="358" spans="1:11" ht="12.75">
      <c r="A358" s="123"/>
      <c r="B358" s="123"/>
      <c r="C358" s="123"/>
      <c r="D358" s="123"/>
      <c r="E358" s="123"/>
      <c r="F358" s="123"/>
      <c r="G358" s="510"/>
      <c r="H358" s="510"/>
      <c r="I358" s="510"/>
      <c r="J358" s="123"/>
      <c r="K358" s="123"/>
    </row>
    <row r="359" spans="1:11" ht="12.75">
      <c r="A359" s="123"/>
      <c r="B359" s="123"/>
      <c r="C359" s="123"/>
      <c r="D359" s="123"/>
      <c r="E359" s="123"/>
      <c r="F359" s="123"/>
      <c r="G359" s="510"/>
      <c r="H359" s="510"/>
      <c r="I359" s="510"/>
      <c r="J359" s="123"/>
      <c r="K359" s="123"/>
    </row>
    <row r="360" spans="1:11" ht="12.75">
      <c r="A360" s="123"/>
      <c r="B360" s="123"/>
      <c r="C360" s="123"/>
      <c r="D360" s="123"/>
      <c r="E360" s="123"/>
      <c r="F360" s="123"/>
      <c r="G360" s="510"/>
      <c r="H360" s="510"/>
      <c r="I360" s="510"/>
      <c r="J360" s="123"/>
      <c r="K360" s="123"/>
    </row>
    <row r="361" spans="1:11" ht="12.75">
      <c r="A361" s="123"/>
      <c r="B361" s="123"/>
      <c r="C361" s="123"/>
      <c r="D361" s="123"/>
      <c r="E361" s="123"/>
      <c r="F361" s="123"/>
      <c r="G361" s="510"/>
      <c r="H361" s="510"/>
      <c r="I361" s="510"/>
      <c r="J361" s="123"/>
      <c r="K361" s="123"/>
    </row>
    <row r="362" spans="1:11" ht="12.75">
      <c r="A362" s="123"/>
      <c r="B362" s="123"/>
      <c r="C362" s="123"/>
      <c r="D362" s="123"/>
      <c r="E362" s="123"/>
      <c r="F362" s="123"/>
      <c r="G362" s="510"/>
      <c r="H362" s="510"/>
      <c r="I362" s="510"/>
      <c r="J362" s="123"/>
      <c r="K362" s="123"/>
    </row>
    <row r="363" spans="1:11" ht="12.75">
      <c r="A363" s="123"/>
      <c r="B363" s="123"/>
      <c r="C363" s="123"/>
      <c r="D363" s="123"/>
      <c r="E363" s="123"/>
      <c r="F363" s="123"/>
      <c r="G363" s="510"/>
      <c r="H363" s="510"/>
      <c r="I363" s="510"/>
      <c r="J363" s="123"/>
      <c r="K363" s="123"/>
    </row>
    <row r="364" spans="1:11" ht="12.75">
      <c r="A364" s="123"/>
      <c r="B364" s="123"/>
      <c r="C364" s="123"/>
      <c r="D364" s="123"/>
      <c r="E364" s="123"/>
      <c r="F364" s="123"/>
      <c r="G364" s="510"/>
      <c r="H364" s="510"/>
      <c r="I364" s="510"/>
      <c r="J364" s="123"/>
      <c r="K364" s="123"/>
    </row>
    <row r="365" spans="1:11" ht="12.75">
      <c r="A365" s="123"/>
      <c r="B365" s="123"/>
      <c r="C365" s="123"/>
      <c r="D365" s="123"/>
      <c r="E365" s="123"/>
      <c r="F365" s="123"/>
      <c r="G365" s="510"/>
      <c r="H365" s="510"/>
      <c r="I365" s="510"/>
      <c r="J365" s="123"/>
      <c r="K365" s="123"/>
    </row>
    <row r="366" spans="1:11" ht="12.75">
      <c r="A366" s="123"/>
      <c r="B366" s="123"/>
      <c r="C366" s="123"/>
      <c r="D366" s="123"/>
      <c r="E366" s="123"/>
      <c r="F366" s="123"/>
      <c r="G366" s="510"/>
      <c r="H366" s="510"/>
      <c r="I366" s="510"/>
      <c r="J366" s="123"/>
      <c r="K366" s="123"/>
    </row>
    <row r="367" spans="1:11" ht="12.75">
      <c r="A367" s="123"/>
      <c r="B367" s="123"/>
      <c r="C367" s="123"/>
      <c r="D367" s="123"/>
      <c r="E367" s="123"/>
      <c r="F367" s="123"/>
      <c r="G367" s="510"/>
      <c r="H367" s="510"/>
      <c r="I367" s="510"/>
      <c r="J367" s="123"/>
      <c r="K367" s="123"/>
    </row>
    <row r="368" spans="1:11" ht="12.75">
      <c r="A368" s="123"/>
      <c r="B368" s="123"/>
      <c r="C368" s="123"/>
      <c r="D368" s="123"/>
      <c r="E368" s="123"/>
      <c r="F368" s="123"/>
      <c r="G368" s="510"/>
      <c r="H368" s="510"/>
      <c r="I368" s="510"/>
      <c r="J368" s="123"/>
      <c r="K368" s="123"/>
    </row>
    <row r="369" spans="1:11" ht="12.75">
      <c r="A369" s="123"/>
      <c r="B369" s="123"/>
      <c r="C369" s="123"/>
      <c r="D369" s="123"/>
      <c r="E369" s="123"/>
      <c r="F369" s="123"/>
      <c r="G369" s="510"/>
      <c r="H369" s="510"/>
      <c r="I369" s="510"/>
      <c r="J369" s="123"/>
      <c r="K369" s="123"/>
    </row>
    <row r="370" spans="1:11" ht="12.75">
      <c r="A370" s="123"/>
      <c r="B370" s="123"/>
      <c r="C370" s="123"/>
      <c r="D370" s="123"/>
      <c r="E370" s="123"/>
      <c r="F370" s="123"/>
      <c r="G370" s="510"/>
      <c r="H370" s="510"/>
      <c r="I370" s="510"/>
      <c r="J370" s="123"/>
      <c r="K370" s="123"/>
    </row>
    <row r="371" spans="1:11" ht="12.75">
      <c r="A371" s="123"/>
      <c r="B371" s="123"/>
      <c r="C371" s="123"/>
      <c r="D371" s="123"/>
      <c r="E371" s="123"/>
      <c r="F371" s="123"/>
      <c r="G371" s="510"/>
      <c r="H371" s="510"/>
      <c r="I371" s="510"/>
      <c r="J371" s="123"/>
      <c r="K371" s="123"/>
    </row>
    <row r="372" spans="1:11" ht="12.75">
      <c r="A372" s="123"/>
      <c r="B372" s="123"/>
      <c r="C372" s="123"/>
      <c r="D372" s="123"/>
      <c r="E372" s="123"/>
      <c r="F372" s="123"/>
      <c r="G372" s="510"/>
      <c r="H372" s="510"/>
      <c r="I372" s="510"/>
      <c r="J372" s="123"/>
      <c r="K372" s="123"/>
    </row>
    <row r="373" spans="1:11" ht="12.75">
      <c r="A373" s="123"/>
      <c r="B373" s="123"/>
      <c r="C373" s="123"/>
      <c r="D373" s="123"/>
      <c r="E373" s="123"/>
      <c r="F373" s="123"/>
      <c r="G373" s="510"/>
      <c r="H373" s="510"/>
      <c r="I373" s="510"/>
      <c r="J373" s="123"/>
      <c r="K373" s="123"/>
    </row>
    <row r="374" spans="1:11" ht="12.75">
      <c r="A374" s="123"/>
      <c r="B374" s="123"/>
      <c r="C374" s="123"/>
      <c r="D374" s="123"/>
      <c r="E374" s="123"/>
      <c r="F374" s="123"/>
      <c r="G374" s="510"/>
      <c r="H374" s="510"/>
      <c r="I374" s="510"/>
      <c r="J374" s="123"/>
      <c r="K374" s="123"/>
    </row>
    <row r="375" spans="1:11" ht="12.75">
      <c r="A375" s="123"/>
      <c r="B375" s="123"/>
      <c r="C375" s="123"/>
      <c r="D375" s="123"/>
      <c r="E375" s="123"/>
      <c r="F375" s="123"/>
      <c r="G375" s="510"/>
      <c r="H375" s="510"/>
      <c r="I375" s="510"/>
      <c r="J375" s="123"/>
      <c r="K375" s="123"/>
    </row>
    <row r="376" spans="1:11" ht="12.75">
      <c r="A376" s="123"/>
      <c r="B376" s="123"/>
      <c r="C376" s="123"/>
      <c r="D376" s="123"/>
      <c r="E376" s="123"/>
      <c r="F376" s="123"/>
      <c r="G376" s="510"/>
      <c r="H376" s="510"/>
      <c r="I376" s="510"/>
      <c r="J376" s="123"/>
      <c r="K376" s="123"/>
    </row>
    <row r="377" spans="1:11" ht="12.75">
      <c r="A377" s="123"/>
      <c r="B377" s="123"/>
      <c r="C377" s="123"/>
      <c r="D377" s="123"/>
      <c r="E377" s="123"/>
      <c r="F377" s="123"/>
      <c r="G377" s="510"/>
      <c r="H377" s="510"/>
      <c r="I377" s="510"/>
      <c r="J377" s="123"/>
      <c r="K377" s="123"/>
    </row>
    <row r="378" spans="1:11" ht="12.75">
      <c r="A378" s="123"/>
      <c r="B378" s="123"/>
      <c r="C378" s="123"/>
      <c r="D378" s="123"/>
      <c r="E378" s="123"/>
      <c r="F378" s="123"/>
      <c r="G378" s="510"/>
      <c r="H378" s="510"/>
      <c r="I378" s="510"/>
      <c r="J378" s="123"/>
      <c r="K378" s="123"/>
    </row>
    <row r="379" spans="1:11" ht="12.75">
      <c r="A379" s="123"/>
      <c r="B379" s="123"/>
      <c r="C379" s="123"/>
      <c r="D379" s="123"/>
      <c r="E379" s="123"/>
      <c r="F379" s="123"/>
      <c r="G379" s="510"/>
      <c r="H379" s="510"/>
      <c r="I379" s="510"/>
      <c r="J379" s="123"/>
      <c r="K379" s="123"/>
    </row>
    <row r="380" spans="1:11" ht="12.75">
      <c r="A380" s="123"/>
      <c r="B380" s="123"/>
      <c r="C380" s="123"/>
      <c r="D380" s="123"/>
      <c r="E380" s="123"/>
      <c r="F380" s="123"/>
      <c r="G380" s="510"/>
      <c r="H380" s="510"/>
      <c r="I380" s="510"/>
      <c r="J380" s="123"/>
      <c r="K380" s="123"/>
    </row>
    <row r="381" spans="1:11" ht="12.75">
      <c r="A381" s="123"/>
      <c r="B381" s="123"/>
      <c r="C381" s="123"/>
      <c r="D381" s="123"/>
      <c r="E381" s="123"/>
      <c r="F381" s="123"/>
      <c r="G381" s="510"/>
      <c r="H381" s="510"/>
      <c r="I381" s="510"/>
      <c r="J381" s="123"/>
      <c r="K381" s="123"/>
    </row>
    <row r="382" spans="1:11" ht="12.75">
      <c r="A382" s="123"/>
      <c r="B382" s="123"/>
      <c r="C382" s="123"/>
      <c r="D382" s="123"/>
      <c r="E382" s="123"/>
      <c r="F382" s="123"/>
      <c r="G382" s="510"/>
      <c r="H382" s="510"/>
      <c r="I382" s="510"/>
      <c r="J382" s="123"/>
      <c r="K382" s="123"/>
    </row>
    <row r="383" spans="1:11" ht="12.75">
      <c r="A383" s="123"/>
      <c r="B383" s="123"/>
      <c r="C383" s="123"/>
      <c r="D383" s="123"/>
      <c r="E383" s="123"/>
      <c r="F383" s="123"/>
      <c r="G383" s="510"/>
      <c r="H383" s="510"/>
      <c r="I383" s="510"/>
      <c r="J383" s="123"/>
      <c r="K383" s="123"/>
    </row>
    <row r="384" spans="1:11" ht="12.75">
      <c r="A384" s="123"/>
      <c r="B384" s="123"/>
      <c r="C384" s="123"/>
      <c r="D384" s="123"/>
      <c r="E384" s="123"/>
      <c r="F384" s="123"/>
      <c r="G384" s="510"/>
      <c r="H384" s="510"/>
      <c r="I384" s="510"/>
      <c r="J384" s="123"/>
      <c r="K384" s="123"/>
    </row>
    <row r="385" spans="1:11" ht="12.75">
      <c r="A385" s="123"/>
      <c r="B385" s="123"/>
      <c r="C385" s="123"/>
      <c r="D385" s="123"/>
      <c r="E385" s="123"/>
      <c r="F385" s="123"/>
      <c r="G385" s="510"/>
      <c r="H385" s="510"/>
      <c r="I385" s="510"/>
      <c r="J385" s="123"/>
      <c r="K385" s="123"/>
    </row>
    <row r="386" spans="1:11" ht="12.75">
      <c r="A386" s="123"/>
      <c r="B386" s="123"/>
      <c r="C386" s="123"/>
      <c r="D386" s="123"/>
      <c r="E386" s="123"/>
      <c r="F386" s="123"/>
      <c r="G386" s="510"/>
      <c r="H386" s="510"/>
      <c r="I386" s="510"/>
      <c r="J386" s="123"/>
      <c r="K386" s="123"/>
    </row>
    <row r="387" spans="1:11" ht="12.75">
      <c r="A387" s="123"/>
      <c r="B387" s="123"/>
      <c r="C387" s="123"/>
      <c r="D387" s="123"/>
      <c r="E387" s="123"/>
      <c r="F387" s="123"/>
      <c r="G387" s="510"/>
      <c r="H387" s="510"/>
      <c r="I387" s="510"/>
      <c r="J387" s="123"/>
      <c r="K387" s="123"/>
    </row>
    <row r="388" spans="1:11" ht="12.75">
      <c r="A388" s="123"/>
      <c r="B388" s="123"/>
      <c r="C388" s="123"/>
      <c r="D388" s="123"/>
      <c r="E388" s="123"/>
      <c r="F388" s="123"/>
      <c r="G388" s="510"/>
      <c r="H388" s="510"/>
      <c r="I388" s="510"/>
      <c r="J388" s="123"/>
      <c r="K388" s="123"/>
    </row>
    <row r="389" spans="1:11" ht="12.75">
      <c r="A389" s="123"/>
      <c r="B389" s="123"/>
      <c r="C389" s="123"/>
      <c r="D389" s="123"/>
      <c r="E389" s="123"/>
      <c r="F389" s="123"/>
      <c r="G389" s="510"/>
      <c r="H389" s="510"/>
      <c r="I389" s="510"/>
      <c r="J389" s="123"/>
      <c r="K389" s="123"/>
    </row>
    <row r="390" spans="1:11" ht="12.75">
      <c r="A390" s="123"/>
      <c r="B390" s="123"/>
      <c r="C390" s="123"/>
      <c r="D390" s="123"/>
      <c r="E390" s="123"/>
      <c r="F390" s="123"/>
      <c r="G390" s="510"/>
      <c r="H390" s="510"/>
      <c r="I390" s="510"/>
      <c r="J390" s="123"/>
      <c r="K390" s="123"/>
    </row>
    <row r="391" spans="1:11" ht="12.75">
      <c r="A391" s="123"/>
      <c r="B391" s="123"/>
      <c r="C391" s="123"/>
      <c r="D391" s="123"/>
      <c r="E391" s="123"/>
      <c r="F391" s="123"/>
      <c r="G391" s="510"/>
      <c r="H391" s="510"/>
      <c r="I391" s="510"/>
      <c r="J391" s="123"/>
      <c r="K391" s="123"/>
    </row>
    <row r="392" spans="1:11" ht="12.75">
      <c r="A392" s="123"/>
      <c r="B392" s="123"/>
      <c r="C392" s="123"/>
      <c r="D392" s="123"/>
      <c r="E392" s="123"/>
      <c r="F392" s="123"/>
      <c r="G392" s="510"/>
      <c r="H392" s="510"/>
      <c r="I392" s="510"/>
      <c r="J392" s="123"/>
      <c r="K392" s="123"/>
    </row>
    <row r="393" spans="1:11" ht="12.75">
      <c r="A393" s="123"/>
      <c r="B393" s="123"/>
      <c r="C393" s="123"/>
      <c r="D393" s="123"/>
      <c r="E393" s="123"/>
      <c r="F393" s="123"/>
      <c r="G393" s="510"/>
      <c r="H393" s="510"/>
      <c r="I393" s="510"/>
      <c r="J393" s="123"/>
      <c r="K393" s="123"/>
    </row>
    <row r="394" spans="1:11" ht="12.75">
      <c r="A394" s="123"/>
      <c r="B394" s="123"/>
      <c r="C394" s="123"/>
      <c r="D394" s="123"/>
      <c r="E394" s="123"/>
      <c r="F394" s="123"/>
      <c r="G394" s="510"/>
      <c r="H394" s="510"/>
      <c r="I394" s="510"/>
      <c r="J394" s="123"/>
      <c r="K394" s="123"/>
    </row>
    <row r="395" spans="1:11" ht="12.75">
      <c r="A395" s="123"/>
      <c r="B395" s="123"/>
      <c r="C395" s="123"/>
      <c r="D395" s="123"/>
      <c r="E395" s="123"/>
      <c r="F395" s="123"/>
      <c r="G395" s="510"/>
      <c r="H395" s="510"/>
      <c r="I395" s="510"/>
      <c r="J395" s="123"/>
      <c r="K395" s="123"/>
    </row>
    <row r="396" spans="1:11" ht="12.75">
      <c r="A396" s="123"/>
      <c r="B396" s="123"/>
      <c r="C396" s="123"/>
      <c r="D396" s="123"/>
      <c r="E396" s="123"/>
      <c r="F396" s="123"/>
      <c r="G396" s="510"/>
      <c r="H396" s="510"/>
      <c r="I396" s="510"/>
      <c r="J396" s="123"/>
      <c r="K396" s="123"/>
    </row>
    <row r="397" spans="1:11" ht="12.75">
      <c r="A397" s="123"/>
      <c r="B397" s="123"/>
      <c r="C397" s="123"/>
      <c r="D397" s="123"/>
      <c r="E397" s="123"/>
      <c r="F397" s="123"/>
      <c r="G397" s="510"/>
      <c r="H397" s="510"/>
      <c r="I397" s="510"/>
      <c r="J397" s="123"/>
      <c r="K397" s="123"/>
    </row>
    <row r="398" spans="1:11" ht="12.75">
      <c r="A398" s="123"/>
      <c r="B398" s="123"/>
      <c r="C398" s="123"/>
      <c r="D398" s="123"/>
      <c r="E398" s="123"/>
      <c r="F398" s="123"/>
      <c r="G398" s="510"/>
      <c r="H398" s="510"/>
      <c r="I398" s="510"/>
      <c r="J398" s="123"/>
      <c r="K398" s="123"/>
    </row>
    <row r="399" spans="1:11" ht="12.75">
      <c r="A399" s="123"/>
      <c r="B399" s="123"/>
      <c r="C399" s="123"/>
      <c r="D399" s="123"/>
      <c r="E399" s="123"/>
      <c r="F399" s="123"/>
      <c r="G399" s="510"/>
      <c r="H399" s="510"/>
      <c r="I399" s="510"/>
      <c r="J399" s="123"/>
      <c r="K399" s="123"/>
    </row>
    <row r="400" spans="1:11" ht="12.75">
      <c r="A400" s="123"/>
      <c r="B400" s="123"/>
      <c r="C400" s="123"/>
      <c r="D400" s="123"/>
      <c r="E400" s="123"/>
      <c r="F400" s="123"/>
      <c r="G400" s="510"/>
      <c r="H400" s="510"/>
      <c r="I400" s="510"/>
      <c r="J400" s="123"/>
      <c r="K400" s="123"/>
    </row>
    <row r="401" spans="1:11" ht="12.75">
      <c r="A401" s="123"/>
      <c r="B401" s="123"/>
      <c r="C401" s="123"/>
      <c r="D401" s="123"/>
      <c r="E401" s="123"/>
      <c r="F401" s="123"/>
      <c r="G401" s="510"/>
      <c r="H401" s="510"/>
      <c r="I401" s="510"/>
      <c r="J401" s="123"/>
      <c r="K401" s="123"/>
    </row>
    <row r="402" spans="1:11" ht="12.75">
      <c r="A402" s="123"/>
      <c r="B402" s="123"/>
      <c r="C402" s="123"/>
      <c r="D402" s="123"/>
      <c r="E402" s="123"/>
      <c r="F402" s="123"/>
      <c r="G402" s="510"/>
      <c r="H402" s="510"/>
      <c r="I402" s="510"/>
      <c r="J402" s="123"/>
      <c r="K402" s="123"/>
    </row>
    <row r="403" spans="1:11" ht="12.75">
      <c r="A403" s="123"/>
      <c r="B403" s="123"/>
      <c r="C403" s="123"/>
      <c r="D403" s="123"/>
      <c r="E403" s="123"/>
      <c r="F403" s="123"/>
      <c r="G403" s="510"/>
      <c r="H403" s="510"/>
      <c r="I403" s="510"/>
      <c r="J403" s="123"/>
      <c r="K403" s="123"/>
    </row>
    <row r="404" spans="1:11" ht="12.75">
      <c r="A404" s="123"/>
      <c r="B404" s="123"/>
      <c r="C404" s="123"/>
      <c r="D404" s="123"/>
      <c r="E404" s="123"/>
      <c r="F404" s="123"/>
      <c r="G404" s="510"/>
      <c r="H404" s="510"/>
      <c r="I404" s="510"/>
      <c r="J404" s="123"/>
      <c r="K404" s="123"/>
    </row>
    <row r="405" spans="1:11" ht="12.75">
      <c r="A405" s="123"/>
      <c r="B405" s="123"/>
      <c r="C405" s="123"/>
      <c r="D405" s="123"/>
      <c r="E405" s="123"/>
      <c r="F405" s="123"/>
      <c r="G405" s="510"/>
      <c r="H405" s="510"/>
      <c r="I405" s="510"/>
      <c r="J405" s="123"/>
      <c r="K405" s="123"/>
    </row>
    <row r="406" spans="1:11" ht="12.75">
      <c r="A406" s="123"/>
      <c r="B406" s="123"/>
      <c r="C406" s="123"/>
      <c r="D406" s="123"/>
      <c r="E406" s="123"/>
      <c r="F406" s="123"/>
      <c r="G406" s="510"/>
      <c r="H406" s="510"/>
      <c r="I406" s="510"/>
      <c r="J406" s="123"/>
      <c r="K406" s="123"/>
    </row>
    <row r="407" spans="1:11" ht="12.75">
      <c r="A407" s="123"/>
      <c r="B407" s="123"/>
      <c r="C407" s="123"/>
      <c r="D407" s="123"/>
      <c r="E407" s="123"/>
      <c r="F407" s="123"/>
      <c r="G407" s="510"/>
      <c r="H407" s="510"/>
      <c r="I407" s="510"/>
      <c r="J407" s="123"/>
      <c r="K407" s="123"/>
    </row>
    <row r="408" spans="1:11" ht="12.75">
      <c r="A408" s="123"/>
      <c r="B408" s="123"/>
      <c r="C408" s="123"/>
      <c r="D408" s="123"/>
      <c r="E408" s="123"/>
      <c r="F408" s="123"/>
      <c r="G408" s="510"/>
      <c r="H408" s="510"/>
      <c r="I408" s="510"/>
      <c r="J408" s="123"/>
      <c r="K408" s="123"/>
    </row>
    <row r="409" spans="1:11" ht="12.75">
      <c r="A409" s="123"/>
      <c r="B409" s="123"/>
      <c r="C409" s="123"/>
      <c r="D409" s="123"/>
      <c r="E409" s="123"/>
      <c r="F409" s="123"/>
      <c r="G409" s="510"/>
      <c r="H409" s="510"/>
      <c r="I409" s="510"/>
      <c r="J409" s="123"/>
      <c r="K409" s="123"/>
    </row>
    <row r="410" spans="1:11" ht="12.75">
      <c r="A410" s="123"/>
      <c r="B410" s="123"/>
      <c r="C410" s="123"/>
      <c r="D410" s="123"/>
      <c r="E410" s="123"/>
      <c r="F410" s="123"/>
      <c r="G410" s="510"/>
      <c r="H410" s="510"/>
      <c r="I410" s="510"/>
      <c r="J410" s="123"/>
      <c r="K410" s="123"/>
    </row>
    <row r="411" spans="1:11" ht="12.75">
      <c r="A411" s="123"/>
      <c r="B411" s="123"/>
      <c r="C411" s="123"/>
      <c r="D411" s="123"/>
      <c r="E411" s="123"/>
      <c r="F411" s="123"/>
      <c r="G411" s="510"/>
      <c r="H411" s="510"/>
      <c r="I411" s="510"/>
      <c r="J411" s="123"/>
      <c r="K411" s="123"/>
    </row>
    <row r="412" spans="1:11" ht="12.75">
      <c r="A412" s="123"/>
      <c r="B412" s="123"/>
      <c r="C412" s="123"/>
      <c r="D412" s="123"/>
      <c r="E412" s="123"/>
      <c r="F412" s="123"/>
      <c r="G412" s="510"/>
      <c r="H412" s="510"/>
      <c r="I412" s="510"/>
      <c r="J412" s="123"/>
      <c r="K412" s="123"/>
    </row>
    <row r="413" spans="1:11" ht="12.75">
      <c r="A413" s="123"/>
      <c r="B413" s="123"/>
      <c r="C413" s="123"/>
      <c r="D413" s="123"/>
      <c r="E413" s="123"/>
      <c r="F413" s="123"/>
      <c r="G413" s="510"/>
      <c r="H413" s="510"/>
      <c r="I413" s="510"/>
      <c r="J413" s="123"/>
      <c r="K413" s="123"/>
    </row>
    <row r="414" spans="1:11" ht="12.75">
      <c r="A414" s="123"/>
      <c r="B414" s="123"/>
      <c r="C414" s="123"/>
      <c r="D414" s="123"/>
      <c r="E414" s="123"/>
      <c r="F414" s="123"/>
      <c r="G414" s="510"/>
      <c r="H414" s="510"/>
      <c r="I414" s="510"/>
      <c r="J414" s="123"/>
      <c r="K414" s="123"/>
    </row>
    <row r="415" spans="1:11" ht="12.75">
      <c r="A415" s="123"/>
      <c r="B415" s="123"/>
      <c r="C415" s="123"/>
      <c r="D415" s="123"/>
      <c r="E415" s="123"/>
      <c r="F415" s="123"/>
      <c r="G415" s="510"/>
      <c r="H415" s="510"/>
      <c r="I415" s="510"/>
      <c r="J415" s="123"/>
      <c r="K415" s="123"/>
    </row>
    <row r="416" spans="1:11" ht="12.75">
      <c r="A416" s="123"/>
      <c r="B416" s="123"/>
      <c r="C416" s="123"/>
      <c r="D416" s="123"/>
      <c r="E416" s="123"/>
      <c r="F416" s="123"/>
      <c r="G416" s="510"/>
      <c r="H416" s="510"/>
      <c r="I416" s="510"/>
      <c r="J416" s="123"/>
      <c r="K416" s="123"/>
    </row>
    <row r="417" spans="1:11" ht="12.75">
      <c r="A417" s="123"/>
      <c r="B417" s="123"/>
      <c r="C417" s="123"/>
      <c r="D417" s="123"/>
      <c r="E417" s="123"/>
      <c r="F417" s="123"/>
      <c r="G417" s="510"/>
      <c r="H417" s="510"/>
      <c r="I417" s="510"/>
      <c r="J417" s="123"/>
      <c r="K417" s="123"/>
    </row>
    <row r="418" spans="1:11" ht="12.75">
      <c r="A418" s="123"/>
      <c r="B418" s="123"/>
      <c r="C418" s="123"/>
      <c r="D418" s="123"/>
      <c r="E418" s="123"/>
      <c r="F418" s="123"/>
      <c r="G418" s="510"/>
      <c r="H418" s="510"/>
      <c r="I418" s="510"/>
      <c r="J418" s="123"/>
      <c r="K418" s="123"/>
    </row>
    <row r="419" spans="1:11" ht="12.75">
      <c r="A419" s="123"/>
      <c r="B419" s="123"/>
      <c r="C419" s="123"/>
      <c r="D419" s="123"/>
      <c r="E419" s="123"/>
      <c r="F419" s="123"/>
      <c r="G419" s="510"/>
      <c r="H419" s="510"/>
      <c r="I419" s="510"/>
      <c r="J419" s="123"/>
      <c r="K419" s="123"/>
    </row>
    <row r="420" spans="1:11" ht="12.75">
      <c r="A420" s="123"/>
      <c r="B420" s="123"/>
      <c r="C420" s="123"/>
      <c r="D420" s="123"/>
      <c r="E420" s="123"/>
      <c r="F420" s="123"/>
      <c r="G420" s="510"/>
      <c r="H420" s="510"/>
      <c r="I420" s="510"/>
      <c r="J420" s="123"/>
      <c r="K420" s="123"/>
    </row>
    <row r="421" spans="1:11" ht="12.75">
      <c r="A421" s="123"/>
      <c r="B421" s="123"/>
      <c r="C421" s="123"/>
      <c r="D421" s="123"/>
      <c r="E421" s="123"/>
      <c r="F421" s="123"/>
      <c r="G421" s="510"/>
      <c r="H421" s="510"/>
      <c r="I421" s="510"/>
      <c r="J421" s="123"/>
      <c r="K421" s="123"/>
    </row>
    <row r="422" spans="1:11" ht="12.75">
      <c r="A422" s="123"/>
      <c r="B422" s="123"/>
      <c r="C422" s="123"/>
      <c r="D422" s="123"/>
      <c r="E422" s="123"/>
      <c r="F422" s="123"/>
      <c r="G422" s="510"/>
      <c r="H422" s="510"/>
      <c r="I422" s="510"/>
      <c r="J422" s="123"/>
      <c r="K422" s="123"/>
    </row>
    <row r="423" spans="1:11" ht="12.75">
      <c r="A423" s="123"/>
      <c r="B423" s="123"/>
      <c r="C423" s="123"/>
      <c r="D423" s="123"/>
      <c r="E423" s="123"/>
      <c r="F423" s="123"/>
      <c r="G423" s="510"/>
      <c r="H423" s="510"/>
      <c r="I423" s="510"/>
      <c r="J423" s="123"/>
      <c r="K423" s="123"/>
    </row>
    <row r="424" spans="1:11" ht="12.75">
      <c r="A424" s="123"/>
      <c r="B424" s="123"/>
      <c r="C424" s="123"/>
      <c r="D424" s="123"/>
      <c r="E424" s="123"/>
      <c r="F424" s="123"/>
      <c r="G424" s="510"/>
      <c r="H424" s="510"/>
      <c r="I424" s="510"/>
      <c r="J424" s="123"/>
      <c r="K424" s="123"/>
    </row>
    <row r="425" spans="1:11" ht="12.75">
      <c r="A425" s="123"/>
      <c r="B425" s="123"/>
      <c r="C425" s="123"/>
      <c r="D425" s="123"/>
      <c r="E425" s="123"/>
      <c r="F425" s="123"/>
      <c r="G425" s="510"/>
      <c r="H425" s="510"/>
      <c r="I425" s="510"/>
      <c r="J425" s="123"/>
      <c r="K425" s="123"/>
    </row>
    <row r="426" spans="1:11" ht="12.75">
      <c r="A426" s="123"/>
      <c r="B426" s="123"/>
      <c r="C426" s="123"/>
      <c r="D426" s="123"/>
      <c r="E426" s="123"/>
      <c r="F426" s="123"/>
      <c r="G426" s="510"/>
      <c r="H426" s="510"/>
      <c r="I426" s="510"/>
      <c r="J426" s="123"/>
      <c r="K426" s="123"/>
    </row>
    <row r="427" spans="1:11" ht="12.75">
      <c r="A427" s="123"/>
      <c r="B427" s="123"/>
      <c r="C427" s="123"/>
      <c r="D427" s="123"/>
      <c r="E427" s="123"/>
      <c r="F427" s="123"/>
      <c r="G427" s="510"/>
      <c r="H427" s="510"/>
      <c r="I427" s="510"/>
      <c r="J427" s="123"/>
      <c r="K427" s="123"/>
    </row>
    <row r="428" spans="1:11" ht="12.75">
      <c r="A428" s="123"/>
      <c r="B428" s="123"/>
      <c r="C428" s="123"/>
      <c r="D428" s="123"/>
      <c r="E428" s="123"/>
      <c r="F428" s="123"/>
      <c r="G428" s="510"/>
      <c r="H428" s="510"/>
      <c r="I428" s="510"/>
      <c r="J428" s="123"/>
      <c r="K428" s="123"/>
    </row>
    <row r="429" spans="1:11" ht="12.75">
      <c r="A429" s="123"/>
      <c r="B429" s="123"/>
      <c r="C429" s="123"/>
      <c r="D429" s="123"/>
      <c r="E429" s="123"/>
      <c r="F429" s="123"/>
      <c r="G429" s="510"/>
      <c r="H429" s="510"/>
      <c r="I429" s="510"/>
      <c r="J429" s="123"/>
      <c r="K429" s="123"/>
    </row>
    <row r="430" spans="1:11" ht="12.75">
      <c r="A430" s="123"/>
      <c r="B430" s="123"/>
      <c r="C430" s="123"/>
      <c r="D430" s="123"/>
      <c r="E430" s="123"/>
      <c r="F430" s="123"/>
      <c r="G430" s="510"/>
      <c r="H430" s="510"/>
      <c r="I430" s="510"/>
      <c r="J430" s="123"/>
      <c r="K430" s="123"/>
    </row>
    <row r="431" spans="1:11" ht="12.75">
      <c r="A431" s="123"/>
      <c r="B431" s="123"/>
      <c r="C431" s="123"/>
      <c r="D431" s="123"/>
      <c r="E431" s="123"/>
      <c r="F431" s="123"/>
      <c r="G431" s="510"/>
      <c r="H431" s="510"/>
      <c r="I431" s="510"/>
      <c r="J431" s="123"/>
      <c r="K431" s="123"/>
    </row>
    <row r="432" spans="1:11" ht="12.75">
      <c r="A432" s="123"/>
      <c r="B432" s="123"/>
      <c r="C432" s="123"/>
      <c r="D432" s="123"/>
      <c r="E432" s="123"/>
      <c r="F432" s="123"/>
      <c r="G432" s="510"/>
      <c r="H432" s="510"/>
      <c r="I432" s="510"/>
      <c r="J432" s="123"/>
      <c r="K432" s="123"/>
    </row>
    <row r="433" spans="1:11" ht="12.75">
      <c r="A433" s="123"/>
      <c r="B433" s="123"/>
      <c r="C433" s="123"/>
      <c r="D433" s="123"/>
      <c r="E433" s="123"/>
      <c r="F433" s="123"/>
      <c r="G433" s="510"/>
      <c r="H433" s="510"/>
      <c r="I433" s="510"/>
      <c r="J433" s="123"/>
      <c r="K433" s="123"/>
    </row>
    <row r="434" spans="1:11" ht="12.75">
      <c r="A434" s="123"/>
      <c r="B434" s="123"/>
      <c r="C434" s="123"/>
      <c r="D434" s="123"/>
      <c r="E434" s="123"/>
      <c r="F434" s="123"/>
      <c r="G434" s="510"/>
      <c r="H434" s="510"/>
      <c r="I434" s="510"/>
      <c r="J434" s="123"/>
      <c r="K434" s="123"/>
    </row>
    <row r="435" spans="1:11" ht="12.75">
      <c r="A435" s="123"/>
      <c r="B435" s="123"/>
      <c r="C435" s="123"/>
      <c r="D435" s="123"/>
      <c r="E435" s="123"/>
      <c r="F435" s="123"/>
      <c r="G435" s="510"/>
      <c r="H435" s="510"/>
      <c r="I435" s="510"/>
      <c r="J435" s="123"/>
      <c r="K435" s="123"/>
    </row>
    <row r="436" spans="1:11" ht="12.75">
      <c r="A436" s="123"/>
      <c r="B436" s="123"/>
      <c r="C436" s="123"/>
      <c r="D436" s="123"/>
      <c r="E436" s="123"/>
      <c r="F436" s="123"/>
      <c r="G436" s="510"/>
      <c r="H436" s="510"/>
      <c r="I436" s="510"/>
      <c r="J436" s="123"/>
      <c r="K436" s="123"/>
    </row>
    <row r="437" spans="1:11" ht="12.75">
      <c r="A437" s="123"/>
      <c r="B437" s="123"/>
      <c r="C437" s="123"/>
      <c r="D437" s="123"/>
      <c r="E437" s="123"/>
      <c r="F437" s="123"/>
      <c r="G437" s="510"/>
      <c r="H437" s="510"/>
      <c r="I437" s="510"/>
      <c r="J437" s="123"/>
      <c r="K437" s="123"/>
    </row>
    <row r="438" spans="1:11" ht="12.75">
      <c r="A438" s="123"/>
      <c r="B438" s="123"/>
      <c r="C438" s="123"/>
      <c r="D438" s="123"/>
      <c r="E438" s="123"/>
      <c r="F438" s="123"/>
      <c r="G438" s="510"/>
      <c r="H438" s="510"/>
      <c r="I438" s="510"/>
      <c r="J438" s="123"/>
      <c r="K438" s="123"/>
    </row>
    <row r="439" spans="1:11" ht="12.75">
      <c r="A439" s="123"/>
      <c r="B439" s="123"/>
      <c r="C439" s="123"/>
      <c r="D439" s="123"/>
      <c r="E439" s="123"/>
      <c r="F439" s="123"/>
      <c r="G439" s="510"/>
      <c r="H439" s="510"/>
      <c r="I439" s="510"/>
      <c r="J439" s="123"/>
      <c r="K439" s="123"/>
    </row>
    <row r="440" spans="1:11" ht="12.75">
      <c r="A440" s="123"/>
      <c r="B440" s="123"/>
      <c r="C440" s="123"/>
      <c r="D440" s="123"/>
      <c r="E440" s="123"/>
      <c r="F440" s="123"/>
      <c r="G440" s="510"/>
      <c r="H440" s="510"/>
      <c r="I440" s="510"/>
      <c r="J440" s="123"/>
      <c r="K440" s="123"/>
    </row>
    <row r="441" spans="1:11" ht="12.75">
      <c r="A441" s="123"/>
      <c r="B441" s="123"/>
      <c r="C441" s="123"/>
      <c r="D441" s="123"/>
      <c r="E441" s="123"/>
      <c r="F441" s="123"/>
      <c r="G441" s="510"/>
      <c r="H441" s="510"/>
      <c r="I441" s="510"/>
      <c r="J441" s="123"/>
      <c r="K441" s="123"/>
    </row>
    <row r="442" spans="1:11" ht="12.75">
      <c r="A442" s="123"/>
      <c r="B442" s="123"/>
      <c r="C442" s="123"/>
      <c r="D442" s="123"/>
      <c r="E442" s="123"/>
      <c r="F442" s="123"/>
      <c r="G442" s="510"/>
      <c r="H442" s="510"/>
      <c r="I442" s="510"/>
      <c r="J442" s="123"/>
      <c r="K442" s="123"/>
    </row>
    <row r="443" spans="1:11" ht="12.75">
      <c r="A443" s="123"/>
      <c r="B443" s="123"/>
      <c r="C443" s="123"/>
      <c r="D443" s="123"/>
      <c r="E443" s="123"/>
      <c r="F443" s="123"/>
      <c r="G443" s="510"/>
      <c r="H443" s="510"/>
      <c r="I443" s="510"/>
      <c r="J443" s="123"/>
      <c r="K443" s="123"/>
    </row>
    <row r="444" spans="1:11" ht="12.75">
      <c r="A444" s="123"/>
      <c r="B444" s="123"/>
      <c r="C444" s="123"/>
      <c r="D444" s="123"/>
      <c r="E444" s="123"/>
      <c r="F444" s="123"/>
      <c r="G444" s="510"/>
      <c r="H444" s="510"/>
      <c r="I444" s="510"/>
      <c r="J444" s="123"/>
      <c r="K444" s="123"/>
    </row>
    <row r="445" spans="1:11" ht="12.75">
      <c r="A445" s="123"/>
      <c r="B445" s="123"/>
      <c r="C445" s="123"/>
      <c r="D445" s="123"/>
      <c r="E445" s="123"/>
      <c r="F445" s="123"/>
      <c r="G445" s="510"/>
      <c r="H445" s="510"/>
      <c r="I445" s="510"/>
      <c r="J445" s="123"/>
      <c r="K445" s="123"/>
    </row>
    <row r="446" spans="1:11" ht="12.75">
      <c r="A446" s="123"/>
      <c r="B446" s="123"/>
      <c r="C446" s="123"/>
      <c r="D446" s="123"/>
      <c r="E446" s="123"/>
      <c r="F446" s="123"/>
      <c r="G446" s="510"/>
      <c r="H446" s="510"/>
      <c r="I446" s="510"/>
      <c r="J446" s="123"/>
      <c r="K446" s="123"/>
    </row>
    <row r="447" spans="1:11" ht="12.75">
      <c r="A447" s="123"/>
      <c r="B447" s="123"/>
      <c r="C447" s="123"/>
      <c r="D447" s="123"/>
      <c r="E447" s="123"/>
      <c r="F447" s="123"/>
      <c r="G447" s="510"/>
      <c r="H447" s="510"/>
      <c r="I447" s="510"/>
      <c r="J447" s="123"/>
      <c r="K447" s="123"/>
    </row>
    <row r="448" spans="1:11" ht="12.75">
      <c r="A448" s="123"/>
      <c r="B448" s="123"/>
      <c r="C448" s="123"/>
      <c r="D448" s="123"/>
      <c r="E448" s="123"/>
      <c r="F448" s="123"/>
      <c r="G448" s="510"/>
      <c r="H448" s="510"/>
      <c r="I448" s="510"/>
      <c r="J448" s="123"/>
      <c r="K448" s="123"/>
    </row>
    <row r="449" spans="1:11" ht="12.75">
      <c r="A449" s="123"/>
      <c r="B449" s="123"/>
      <c r="C449" s="123"/>
      <c r="D449" s="123"/>
      <c r="E449" s="123"/>
      <c r="F449" s="123"/>
      <c r="G449" s="510"/>
      <c r="H449" s="510"/>
      <c r="I449" s="510"/>
      <c r="J449" s="123"/>
      <c r="K449" s="123"/>
    </row>
    <row r="450" spans="1:11" ht="12.75">
      <c r="A450" s="123"/>
      <c r="B450" s="123"/>
      <c r="C450" s="123"/>
      <c r="D450" s="123"/>
      <c r="E450" s="123"/>
      <c r="F450" s="123"/>
      <c r="G450" s="510"/>
      <c r="H450" s="510"/>
      <c r="I450" s="510"/>
      <c r="J450" s="123"/>
      <c r="K450" s="123"/>
    </row>
    <row r="451" spans="1:11" ht="12.75">
      <c r="A451" s="123"/>
      <c r="B451" s="123"/>
      <c r="C451" s="123"/>
      <c r="D451" s="123"/>
      <c r="E451" s="123"/>
      <c r="F451" s="123"/>
      <c r="G451" s="510"/>
      <c r="H451" s="510"/>
      <c r="I451" s="510"/>
      <c r="J451" s="123"/>
      <c r="K451" s="123"/>
    </row>
    <row r="452" spans="1:11" ht="12.75">
      <c r="A452" s="123"/>
      <c r="B452" s="123"/>
      <c r="C452" s="123"/>
      <c r="D452" s="123"/>
      <c r="E452" s="123"/>
      <c r="F452" s="123"/>
      <c r="G452" s="510"/>
      <c r="H452" s="510"/>
      <c r="I452" s="510"/>
      <c r="J452" s="123"/>
      <c r="K452" s="123"/>
    </row>
    <row r="453" spans="1:11" ht="12.75">
      <c r="A453" s="123"/>
      <c r="B453" s="123"/>
      <c r="C453" s="123"/>
      <c r="D453" s="123"/>
      <c r="E453" s="123"/>
      <c r="F453" s="123"/>
      <c r="G453" s="510"/>
      <c r="H453" s="510"/>
      <c r="I453" s="510"/>
      <c r="J453" s="123"/>
      <c r="K453" s="123"/>
    </row>
    <row r="454" spans="1:11" ht="12.75">
      <c r="A454" s="123"/>
      <c r="B454" s="123"/>
      <c r="C454" s="123"/>
      <c r="D454" s="123"/>
      <c r="E454" s="123"/>
      <c r="F454" s="123"/>
      <c r="G454" s="510"/>
      <c r="H454" s="510"/>
      <c r="I454" s="510"/>
      <c r="J454" s="123"/>
      <c r="K454" s="123"/>
    </row>
    <row r="455" spans="1:11" ht="12.75">
      <c r="A455" s="123"/>
      <c r="B455" s="123"/>
      <c r="C455" s="123"/>
      <c r="D455" s="123"/>
      <c r="E455" s="123"/>
      <c r="F455" s="123"/>
      <c r="G455" s="510"/>
      <c r="H455" s="510"/>
      <c r="I455" s="510"/>
      <c r="J455" s="123"/>
      <c r="K455" s="123"/>
    </row>
    <row r="456" spans="1:11" ht="12.75">
      <c r="A456" s="123"/>
      <c r="B456" s="123"/>
      <c r="C456" s="123"/>
      <c r="D456" s="123"/>
      <c r="E456" s="123"/>
      <c r="F456" s="123"/>
      <c r="G456" s="510"/>
      <c r="H456" s="510"/>
      <c r="I456" s="510"/>
      <c r="J456" s="123"/>
      <c r="K456" s="123"/>
    </row>
    <row r="457" spans="1:11" ht="12.75">
      <c r="A457" s="123"/>
      <c r="B457" s="123"/>
      <c r="C457" s="123"/>
      <c r="D457" s="123"/>
      <c r="E457" s="123"/>
      <c r="F457" s="123"/>
      <c r="G457" s="510"/>
      <c r="H457" s="510"/>
      <c r="I457" s="510"/>
      <c r="J457" s="123"/>
      <c r="K457" s="123"/>
    </row>
    <row r="458" spans="1:11" ht="12.75">
      <c r="A458" s="123"/>
      <c r="B458" s="123"/>
      <c r="C458" s="123"/>
      <c r="D458" s="123"/>
      <c r="E458" s="123"/>
      <c r="F458" s="123"/>
      <c r="G458" s="510"/>
      <c r="H458" s="510"/>
      <c r="I458" s="510"/>
      <c r="J458" s="123"/>
      <c r="K458" s="123"/>
    </row>
    <row r="459" spans="1:11" ht="12.75">
      <c r="A459" s="123"/>
      <c r="B459" s="123"/>
      <c r="C459" s="123"/>
      <c r="D459" s="123"/>
      <c r="E459" s="123"/>
      <c r="F459" s="123"/>
      <c r="G459" s="510"/>
      <c r="H459" s="510"/>
      <c r="I459" s="510"/>
      <c r="J459" s="123"/>
      <c r="K459" s="123"/>
    </row>
    <row r="460" spans="1:11" ht="12.75">
      <c r="A460" s="123"/>
      <c r="B460" s="123"/>
      <c r="C460" s="123"/>
      <c r="D460" s="123"/>
      <c r="E460" s="123"/>
      <c r="F460" s="123"/>
      <c r="G460" s="510"/>
      <c r="H460" s="510"/>
      <c r="I460" s="510"/>
      <c r="J460" s="123"/>
      <c r="K460" s="123"/>
    </row>
    <row r="461" spans="1:11" ht="12.75">
      <c r="A461" s="123"/>
      <c r="B461" s="123"/>
      <c r="C461" s="123"/>
      <c r="D461" s="123"/>
      <c r="E461" s="123"/>
      <c r="F461" s="123"/>
      <c r="G461" s="510"/>
      <c r="H461" s="510"/>
      <c r="I461" s="510"/>
      <c r="J461" s="123"/>
      <c r="K461" s="123"/>
    </row>
    <row r="462" spans="1:11" ht="12.75">
      <c r="A462" s="123"/>
      <c r="B462" s="123"/>
      <c r="C462" s="123"/>
      <c r="D462" s="123"/>
      <c r="E462" s="123"/>
      <c r="F462" s="123"/>
      <c r="G462" s="510"/>
      <c r="H462" s="510"/>
      <c r="I462" s="510"/>
      <c r="J462" s="123"/>
      <c r="K462" s="123"/>
    </row>
    <row r="463" spans="1:11" ht="12.75">
      <c r="A463" s="123"/>
      <c r="B463" s="123"/>
      <c r="C463" s="123"/>
      <c r="D463" s="123"/>
      <c r="E463" s="123"/>
      <c r="F463" s="123"/>
      <c r="G463" s="510"/>
      <c r="H463" s="510"/>
      <c r="I463" s="510"/>
      <c r="J463" s="123"/>
      <c r="K463" s="123"/>
    </row>
    <row r="464" spans="1:11" ht="12.75">
      <c r="A464" s="123"/>
      <c r="B464" s="123"/>
      <c r="C464" s="123"/>
      <c r="D464" s="123"/>
      <c r="E464" s="123"/>
      <c r="F464" s="123"/>
      <c r="G464" s="510"/>
      <c r="H464" s="510"/>
      <c r="I464" s="510"/>
      <c r="J464" s="123"/>
      <c r="K464" s="123"/>
    </row>
    <row r="465" spans="1:11" ht="12.75">
      <c r="A465" s="123"/>
      <c r="B465" s="123"/>
      <c r="C465" s="123"/>
      <c r="D465" s="123"/>
      <c r="E465" s="123"/>
      <c r="F465" s="123"/>
      <c r="G465" s="510"/>
      <c r="H465" s="510"/>
      <c r="I465" s="510"/>
      <c r="J465" s="123"/>
      <c r="K465" s="123"/>
    </row>
    <row r="466" spans="1:11" ht="12.75">
      <c r="A466" s="123"/>
      <c r="B466" s="123"/>
      <c r="C466" s="123"/>
      <c r="D466" s="123"/>
      <c r="E466" s="123"/>
      <c r="F466" s="123"/>
      <c r="G466" s="510"/>
      <c r="H466" s="510"/>
      <c r="I466" s="510"/>
      <c r="J466" s="123"/>
      <c r="K466" s="123"/>
    </row>
    <row r="467" spans="1:11" ht="12.75">
      <c r="A467" s="123"/>
      <c r="B467" s="123"/>
      <c r="C467" s="123"/>
      <c r="D467" s="123"/>
      <c r="E467" s="123"/>
      <c r="F467" s="123"/>
      <c r="G467" s="510"/>
      <c r="H467" s="510"/>
      <c r="I467" s="510"/>
      <c r="J467" s="123"/>
      <c r="K467" s="123"/>
    </row>
    <row r="468" spans="1:11" ht="12.75">
      <c r="A468" s="123"/>
      <c r="B468" s="123"/>
      <c r="C468" s="123"/>
      <c r="D468" s="123"/>
      <c r="E468" s="123"/>
      <c r="F468" s="123"/>
      <c r="G468" s="510"/>
      <c r="H468" s="510"/>
      <c r="I468" s="510"/>
      <c r="J468" s="123"/>
      <c r="K468" s="123"/>
    </row>
    <row r="469" spans="1:11" ht="12.75">
      <c r="A469" s="123"/>
      <c r="B469" s="123"/>
      <c r="C469" s="123"/>
      <c r="D469" s="123"/>
      <c r="E469" s="123"/>
      <c r="F469" s="123"/>
      <c r="G469" s="510"/>
      <c r="H469" s="510"/>
      <c r="I469" s="510"/>
      <c r="J469" s="123"/>
      <c r="K469" s="123"/>
    </row>
    <row r="470" spans="1:11" ht="12.75">
      <c r="A470" s="123"/>
      <c r="B470" s="123"/>
      <c r="C470" s="123"/>
      <c r="D470" s="123"/>
      <c r="E470" s="123"/>
      <c r="F470" s="123"/>
      <c r="G470" s="510"/>
      <c r="H470" s="510"/>
      <c r="I470" s="510"/>
      <c r="J470" s="123"/>
      <c r="K470" s="123"/>
    </row>
    <row r="471" spans="1:11" ht="12.75">
      <c r="A471" s="123"/>
      <c r="B471" s="123"/>
      <c r="C471" s="123"/>
      <c r="D471" s="123"/>
      <c r="E471" s="123"/>
      <c r="F471" s="123"/>
      <c r="G471" s="510"/>
      <c r="H471" s="510"/>
      <c r="I471" s="510"/>
      <c r="J471" s="123"/>
      <c r="K471" s="123"/>
    </row>
    <row r="472" spans="1:11" ht="12.75">
      <c r="A472" s="123"/>
      <c r="B472" s="123"/>
      <c r="C472" s="123"/>
      <c r="D472" s="123"/>
      <c r="E472" s="123"/>
      <c r="F472" s="123"/>
      <c r="G472" s="510"/>
      <c r="H472" s="510"/>
      <c r="I472" s="510"/>
      <c r="J472" s="123"/>
      <c r="K472" s="123"/>
    </row>
    <row r="473" spans="1:11" ht="12.75">
      <c r="A473" s="123"/>
      <c r="B473" s="123"/>
      <c r="C473" s="123"/>
      <c r="D473" s="123"/>
      <c r="E473" s="123"/>
      <c r="F473" s="123"/>
      <c r="G473" s="510"/>
      <c r="H473" s="510"/>
      <c r="I473" s="510"/>
      <c r="J473" s="123"/>
      <c r="K473" s="123"/>
    </row>
    <row r="474" spans="1:11" ht="12.75">
      <c r="A474" s="123"/>
      <c r="B474" s="123"/>
      <c r="C474" s="123"/>
      <c r="D474" s="123"/>
      <c r="E474" s="123"/>
      <c r="F474" s="123"/>
      <c r="G474" s="510"/>
      <c r="H474" s="510"/>
      <c r="I474" s="510"/>
      <c r="J474" s="123"/>
      <c r="K474" s="123"/>
    </row>
    <row r="475" spans="1:11" ht="12.75">
      <c r="A475" s="123"/>
      <c r="B475" s="123"/>
      <c r="C475" s="123"/>
      <c r="D475" s="123"/>
      <c r="E475" s="123"/>
      <c r="F475" s="123"/>
      <c r="G475" s="510"/>
      <c r="H475" s="510"/>
      <c r="I475" s="510"/>
      <c r="J475" s="123"/>
      <c r="K475" s="123"/>
    </row>
    <row r="476" spans="1:11" ht="12.75">
      <c r="A476" s="123"/>
      <c r="B476" s="123"/>
      <c r="C476" s="123"/>
      <c r="D476" s="123"/>
      <c r="E476" s="123"/>
      <c r="F476" s="123"/>
      <c r="G476" s="510"/>
      <c r="H476" s="510"/>
      <c r="I476" s="510"/>
      <c r="J476" s="123"/>
      <c r="K476" s="123"/>
    </row>
    <row r="477" spans="1:11" ht="12.75">
      <c r="A477" s="123"/>
      <c r="B477" s="123"/>
      <c r="C477" s="123"/>
      <c r="D477" s="123"/>
      <c r="E477" s="123"/>
      <c r="F477" s="123"/>
      <c r="G477" s="510"/>
      <c r="H477" s="510"/>
      <c r="I477" s="510"/>
      <c r="J477" s="123"/>
      <c r="K477" s="123"/>
    </row>
    <row r="478" spans="1:11" ht="12.75">
      <c r="A478" s="123"/>
      <c r="B478" s="123"/>
      <c r="C478" s="123"/>
      <c r="D478" s="123"/>
      <c r="E478" s="123"/>
      <c r="F478" s="123"/>
      <c r="G478" s="510"/>
      <c r="H478" s="510"/>
      <c r="I478" s="510"/>
      <c r="J478" s="123"/>
      <c r="K478" s="123"/>
    </row>
    <row r="479" spans="1:11" ht="12.75">
      <c r="A479" s="123"/>
      <c r="B479" s="123"/>
      <c r="C479" s="123"/>
      <c r="D479" s="123"/>
      <c r="E479" s="123"/>
      <c r="F479" s="123"/>
      <c r="G479" s="510"/>
      <c r="H479" s="510"/>
      <c r="I479" s="510"/>
      <c r="J479" s="123"/>
      <c r="K479" s="123"/>
    </row>
    <row r="480" spans="1:11" ht="12.75">
      <c r="A480" s="123"/>
      <c r="B480" s="123"/>
      <c r="C480" s="123"/>
      <c r="D480" s="123"/>
      <c r="E480" s="123"/>
      <c r="F480" s="123"/>
      <c r="G480" s="510"/>
      <c r="H480" s="510"/>
      <c r="I480" s="510"/>
      <c r="J480" s="123"/>
      <c r="K480" s="123"/>
    </row>
    <row r="481" spans="1:11" ht="12.75">
      <c r="A481" s="123"/>
      <c r="B481" s="123"/>
      <c r="C481" s="123"/>
      <c r="D481" s="123"/>
      <c r="E481" s="123"/>
      <c r="F481" s="123"/>
      <c r="G481" s="510"/>
      <c r="H481" s="510"/>
      <c r="I481" s="510"/>
      <c r="J481" s="123"/>
      <c r="K481" s="123"/>
    </row>
    <row r="482" spans="1:11" ht="12.75">
      <c r="A482" s="123"/>
      <c r="B482" s="123"/>
      <c r="C482" s="123"/>
      <c r="D482" s="123"/>
      <c r="E482" s="123"/>
      <c r="F482" s="123"/>
      <c r="G482" s="510"/>
      <c r="H482" s="510"/>
      <c r="I482" s="510"/>
      <c r="J482" s="123"/>
      <c r="K482" s="123"/>
    </row>
    <row r="483" spans="1:11" ht="12.75">
      <c r="A483" s="123"/>
      <c r="B483" s="123"/>
      <c r="C483" s="123"/>
      <c r="D483" s="123"/>
      <c r="E483" s="123"/>
      <c r="F483" s="123"/>
      <c r="G483" s="510"/>
      <c r="H483" s="510"/>
      <c r="I483" s="510"/>
      <c r="J483" s="123"/>
      <c r="K483" s="123"/>
    </row>
    <row r="484" spans="1:11" ht="12.75">
      <c r="A484" s="123"/>
      <c r="B484" s="123"/>
      <c r="C484" s="123"/>
      <c r="D484" s="123"/>
      <c r="E484" s="123"/>
      <c r="F484" s="123"/>
      <c r="G484" s="510"/>
      <c r="H484" s="510"/>
      <c r="I484" s="510"/>
      <c r="J484" s="123"/>
      <c r="K484" s="123"/>
    </row>
    <row r="485" spans="1:11" ht="12.75">
      <c r="A485" s="123"/>
      <c r="B485" s="123"/>
      <c r="C485" s="123"/>
      <c r="D485" s="123"/>
      <c r="E485" s="123"/>
      <c r="F485" s="123"/>
      <c r="G485" s="510"/>
      <c r="H485" s="510"/>
      <c r="I485" s="510"/>
      <c r="J485" s="123"/>
      <c r="K485" s="123"/>
    </row>
    <row r="486" spans="1:11" ht="12.75">
      <c r="A486" s="123"/>
      <c r="B486" s="123"/>
      <c r="C486" s="123"/>
      <c r="D486" s="123"/>
      <c r="E486" s="123"/>
      <c r="F486" s="123"/>
      <c r="G486" s="510"/>
      <c r="H486" s="510"/>
      <c r="I486" s="510"/>
      <c r="J486" s="123"/>
      <c r="K486" s="123"/>
    </row>
    <row r="487" spans="1:11" ht="12.75">
      <c r="A487" s="123"/>
      <c r="B487" s="123"/>
      <c r="C487" s="123"/>
      <c r="D487" s="123"/>
      <c r="E487" s="123"/>
      <c r="F487" s="123"/>
      <c r="G487" s="510"/>
      <c r="H487" s="510"/>
      <c r="I487" s="510"/>
      <c r="J487" s="123"/>
      <c r="K487" s="123"/>
    </row>
    <row r="488" spans="1:11" ht="12.75">
      <c r="A488" s="123"/>
      <c r="B488" s="123"/>
      <c r="C488" s="123"/>
      <c r="D488" s="123"/>
      <c r="E488" s="123"/>
      <c r="F488" s="123"/>
      <c r="G488" s="510"/>
      <c r="H488" s="510"/>
      <c r="I488" s="510"/>
      <c r="J488" s="123"/>
      <c r="K488" s="123"/>
    </row>
    <row r="489" spans="1:11" ht="12.75">
      <c r="A489" s="123"/>
      <c r="B489" s="123"/>
      <c r="C489" s="123"/>
      <c r="D489" s="123"/>
      <c r="E489" s="123"/>
      <c r="F489" s="123"/>
      <c r="G489" s="510"/>
      <c r="H489" s="510"/>
      <c r="I489" s="510"/>
      <c r="J489" s="123"/>
      <c r="K489" s="123"/>
    </row>
    <row r="490" spans="1:11" ht="12.75">
      <c r="A490" s="123"/>
      <c r="B490" s="123"/>
      <c r="C490" s="123"/>
      <c r="D490" s="123"/>
      <c r="E490" s="123"/>
      <c r="F490" s="123"/>
      <c r="G490" s="510"/>
      <c r="H490" s="510"/>
      <c r="I490" s="510"/>
      <c r="J490" s="123"/>
      <c r="K490" s="123"/>
    </row>
    <row r="491" spans="1:11" ht="12.75">
      <c r="A491" s="123"/>
      <c r="B491" s="123"/>
      <c r="C491" s="123"/>
      <c r="D491" s="123"/>
      <c r="E491" s="123"/>
      <c r="F491" s="123"/>
      <c r="G491" s="510"/>
      <c r="H491" s="510"/>
      <c r="I491" s="510"/>
      <c r="J491" s="123"/>
      <c r="K491" s="123"/>
    </row>
    <row r="492" spans="1:11" ht="12.75">
      <c r="A492" s="123"/>
      <c r="B492" s="123"/>
      <c r="C492" s="123"/>
      <c r="D492" s="123"/>
      <c r="E492" s="123"/>
      <c r="F492" s="123"/>
      <c r="G492" s="510"/>
      <c r="H492" s="510"/>
      <c r="I492" s="510"/>
      <c r="J492" s="123"/>
      <c r="K492" s="123"/>
    </row>
    <row r="493" spans="1:11" ht="12.75">
      <c r="A493" s="123"/>
      <c r="B493" s="123"/>
      <c r="C493" s="123"/>
      <c r="D493" s="123"/>
      <c r="E493" s="123"/>
      <c r="F493" s="123"/>
      <c r="G493" s="510"/>
      <c r="H493" s="510"/>
      <c r="I493" s="510"/>
      <c r="J493" s="123"/>
      <c r="K493" s="123"/>
    </row>
    <row r="494" spans="1:11" ht="12.75">
      <c r="A494" s="123"/>
      <c r="B494" s="123"/>
      <c r="C494" s="123"/>
      <c r="D494" s="123"/>
      <c r="E494" s="123"/>
      <c r="F494" s="123"/>
      <c r="G494" s="510"/>
      <c r="H494" s="510"/>
      <c r="I494" s="510"/>
      <c r="J494" s="123"/>
      <c r="K494" s="123"/>
    </row>
    <row r="495" spans="1:11" ht="12.75">
      <c r="A495" s="123"/>
      <c r="B495" s="123"/>
      <c r="C495" s="123"/>
      <c r="D495" s="123"/>
      <c r="E495" s="123"/>
      <c r="F495" s="123"/>
      <c r="G495" s="510"/>
      <c r="H495" s="510"/>
      <c r="I495" s="510"/>
      <c r="J495" s="123"/>
      <c r="K495" s="123"/>
    </row>
    <row r="496" spans="1:11" ht="12.75">
      <c r="A496" s="123"/>
      <c r="B496" s="123"/>
      <c r="C496" s="123"/>
      <c r="D496" s="123"/>
      <c r="E496" s="123"/>
      <c r="F496" s="123"/>
      <c r="G496" s="510"/>
      <c r="H496" s="510"/>
      <c r="I496" s="510"/>
      <c r="J496" s="123"/>
      <c r="K496" s="123"/>
    </row>
    <row r="497" spans="1:11" ht="12.75">
      <c r="A497" s="123"/>
      <c r="B497" s="123"/>
      <c r="C497" s="123"/>
      <c r="D497" s="123"/>
      <c r="E497" s="123"/>
      <c r="F497" s="123"/>
      <c r="G497" s="510"/>
      <c r="H497" s="510"/>
      <c r="I497" s="510"/>
      <c r="J497" s="123"/>
      <c r="K497" s="123"/>
    </row>
    <row r="498" spans="1:11" ht="12.75">
      <c r="A498" s="123"/>
      <c r="B498" s="123"/>
      <c r="C498" s="123"/>
      <c r="D498" s="123"/>
      <c r="E498" s="123"/>
      <c r="F498" s="123"/>
      <c r="G498" s="510"/>
      <c r="H498" s="510"/>
      <c r="I498" s="510"/>
      <c r="J498" s="123"/>
      <c r="K498" s="123"/>
    </row>
    <row r="499" spans="1:11" ht="12.75">
      <c r="A499" s="123"/>
      <c r="B499" s="123"/>
      <c r="C499" s="123"/>
      <c r="D499" s="123"/>
      <c r="E499" s="123"/>
      <c r="F499" s="123"/>
      <c r="G499" s="510"/>
      <c r="H499" s="510"/>
      <c r="I499" s="510"/>
      <c r="J499" s="123"/>
      <c r="K499" s="123"/>
    </row>
    <row r="500" spans="1:11" ht="12.75">
      <c r="A500" s="123"/>
      <c r="B500" s="123"/>
      <c r="C500" s="123"/>
      <c r="D500" s="123"/>
      <c r="E500" s="123"/>
      <c r="F500" s="123"/>
      <c r="G500" s="510"/>
      <c r="H500" s="510"/>
      <c r="I500" s="510"/>
      <c r="J500" s="123"/>
      <c r="K500" s="123"/>
    </row>
    <row r="501" spans="1:11" ht="12.75">
      <c r="A501" s="123"/>
      <c r="B501" s="123"/>
      <c r="C501" s="123"/>
      <c r="D501" s="123"/>
      <c r="E501" s="123"/>
      <c r="F501" s="123"/>
      <c r="G501" s="510"/>
      <c r="H501" s="510"/>
      <c r="I501" s="510"/>
      <c r="J501" s="123"/>
      <c r="K501" s="123"/>
    </row>
    <row r="502" spans="1:11" ht="12.75">
      <c r="A502" s="123"/>
      <c r="B502" s="123"/>
      <c r="C502" s="123"/>
      <c r="D502" s="123"/>
      <c r="E502" s="123"/>
      <c r="F502" s="123"/>
      <c r="G502" s="510"/>
      <c r="H502" s="510"/>
      <c r="I502" s="510"/>
      <c r="J502" s="123"/>
      <c r="K502" s="123"/>
    </row>
    <row r="503" spans="1:11" ht="12.75">
      <c r="A503" s="123"/>
      <c r="B503" s="123"/>
      <c r="C503" s="123"/>
      <c r="D503" s="123"/>
      <c r="E503" s="123"/>
      <c r="F503" s="123"/>
      <c r="G503" s="510"/>
      <c r="H503" s="510"/>
      <c r="I503" s="510"/>
      <c r="J503" s="123"/>
      <c r="K503" s="123"/>
    </row>
    <row r="504" spans="1:11" ht="12.75">
      <c r="A504" s="123"/>
      <c r="B504" s="123"/>
      <c r="C504" s="123"/>
      <c r="D504" s="123"/>
      <c r="E504" s="123"/>
      <c r="F504" s="123"/>
      <c r="G504" s="510"/>
      <c r="H504" s="510"/>
      <c r="I504" s="510"/>
      <c r="J504" s="123"/>
      <c r="K504" s="123"/>
    </row>
    <row r="505" spans="1:11" ht="12.75">
      <c r="A505" s="123"/>
      <c r="B505" s="123"/>
      <c r="C505" s="123"/>
      <c r="D505" s="123"/>
      <c r="E505" s="123"/>
      <c r="F505" s="123"/>
      <c r="G505" s="510"/>
      <c r="H505" s="510"/>
      <c r="I505" s="510"/>
      <c r="J505" s="123"/>
      <c r="K505" s="123"/>
    </row>
    <row r="506" spans="1:11" ht="12.75">
      <c r="A506" s="123"/>
      <c r="B506" s="123"/>
      <c r="C506" s="123"/>
      <c r="D506" s="123"/>
      <c r="E506" s="123"/>
      <c r="F506" s="123"/>
      <c r="G506" s="510"/>
      <c r="H506" s="510"/>
      <c r="I506" s="510"/>
      <c r="J506" s="123"/>
      <c r="K506" s="123"/>
    </row>
    <row r="507" spans="1:11" ht="12.75">
      <c r="A507" s="123"/>
      <c r="B507" s="123"/>
      <c r="C507" s="123"/>
      <c r="D507" s="123"/>
      <c r="E507" s="123"/>
      <c r="F507" s="123"/>
      <c r="G507" s="510"/>
      <c r="H507" s="510"/>
      <c r="I507" s="510"/>
      <c r="J507" s="123"/>
      <c r="K507" s="123"/>
    </row>
    <row r="508" spans="1:11" ht="12.75">
      <c r="A508" s="123"/>
      <c r="B508" s="123"/>
      <c r="C508" s="123"/>
      <c r="D508" s="123"/>
      <c r="E508" s="123"/>
      <c r="F508" s="123"/>
      <c r="G508" s="510"/>
      <c r="H508" s="510"/>
      <c r="I508" s="510"/>
      <c r="J508" s="123"/>
      <c r="K508" s="123"/>
    </row>
    <row r="509" spans="1:11" ht="12.75">
      <c r="A509" s="123"/>
      <c r="B509" s="123"/>
      <c r="C509" s="123"/>
      <c r="D509" s="123"/>
      <c r="E509" s="123"/>
      <c r="F509" s="123"/>
      <c r="G509" s="510"/>
      <c r="H509" s="510"/>
      <c r="I509" s="510"/>
      <c r="J509" s="123"/>
      <c r="K509" s="123"/>
    </row>
    <row r="510" spans="1:11" ht="12.75">
      <c r="A510" s="123"/>
      <c r="B510" s="123"/>
      <c r="C510" s="123"/>
      <c r="D510" s="123"/>
      <c r="E510" s="123"/>
      <c r="F510" s="123"/>
      <c r="G510" s="510"/>
      <c r="H510" s="510"/>
      <c r="I510" s="510"/>
      <c r="J510" s="123"/>
      <c r="K510" s="123"/>
    </row>
    <row r="511" spans="1:11" ht="12.75">
      <c r="A511" s="123"/>
      <c r="B511" s="123"/>
      <c r="C511" s="123"/>
      <c r="D511" s="123"/>
      <c r="E511" s="123"/>
      <c r="F511" s="123"/>
      <c r="G511" s="510"/>
      <c r="H511" s="510"/>
      <c r="I511" s="510"/>
      <c r="J511" s="123"/>
      <c r="K511" s="123"/>
    </row>
    <row r="512" spans="1:11" ht="12.75">
      <c r="A512" s="123"/>
      <c r="B512" s="123"/>
      <c r="C512" s="123"/>
      <c r="D512" s="123"/>
      <c r="E512" s="123"/>
      <c r="F512" s="123"/>
      <c r="G512" s="510"/>
      <c r="H512" s="510"/>
      <c r="I512" s="510"/>
      <c r="J512" s="123"/>
      <c r="K512" s="123"/>
    </row>
    <row r="513" spans="1:11" ht="12.75">
      <c r="A513" s="123"/>
      <c r="B513" s="123"/>
      <c r="C513" s="123"/>
      <c r="D513" s="123"/>
      <c r="E513" s="123"/>
      <c r="F513" s="123"/>
      <c r="G513" s="510"/>
      <c r="H513" s="510"/>
      <c r="I513" s="510"/>
      <c r="J513" s="123"/>
      <c r="K513" s="123"/>
    </row>
    <row r="514" spans="1:11" ht="12.75">
      <c r="A514" s="123"/>
      <c r="B514" s="123"/>
      <c r="C514" s="123"/>
      <c r="D514" s="123"/>
      <c r="E514" s="123"/>
      <c r="F514" s="123"/>
      <c r="G514" s="510"/>
      <c r="H514" s="510"/>
      <c r="I514" s="510"/>
      <c r="J514" s="123"/>
      <c r="K514" s="123"/>
    </row>
    <row r="515" spans="1:11" ht="12.75">
      <c r="A515" s="123"/>
      <c r="B515" s="123"/>
      <c r="C515" s="123"/>
      <c r="D515" s="123"/>
      <c r="E515" s="123"/>
      <c r="F515" s="123"/>
      <c r="G515" s="510"/>
      <c r="H515" s="510"/>
      <c r="I515" s="510"/>
      <c r="J515" s="123"/>
      <c r="K515" s="123"/>
    </row>
    <row r="516" spans="1:11" ht="12.75">
      <c r="A516" s="123"/>
      <c r="B516" s="123"/>
      <c r="C516" s="123"/>
      <c r="D516" s="123"/>
      <c r="E516" s="123"/>
      <c r="F516" s="123"/>
      <c r="G516" s="510"/>
      <c r="H516" s="510"/>
      <c r="I516" s="510"/>
      <c r="J516" s="123"/>
      <c r="K516" s="123"/>
    </row>
    <row r="517" spans="1:11" ht="12.75">
      <c r="A517" s="123"/>
      <c r="B517" s="123"/>
      <c r="C517" s="123"/>
      <c r="D517" s="123"/>
      <c r="E517" s="123"/>
      <c r="F517" s="123"/>
      <c r="G517" s="510"/>
      <c r="H517" s="510"/>
      <c r="I517" s="510"/>
      <c r="J517" s="123"/>
      <c r="K517" s="123"/>
    </row>
    <row r="518" spans="1:11" ht="12.75">
      <c r="A518" s="123"/>
      <c r="B518" s="123"/>
      <c r="C518" s="123"/>
      <c r="D518" s="123"/>
      <c r="E518" s="123"/>
      <c r="F518" s="123"/>
      <c r="G518" s="510"/>
      <c r="H518" s="510"/>
      <c r="I518" s="510"/>
      <c r="J518" s="123"/>
      <c r="K518" s="123"/>
    </row>
    <row r="519" spans="1:11" ht="12.75">
      <c r="A519" s="123"/>
      <c r="B519" s="123"/>
      <c r="C519" s="123"/>
      <c r="D519" s="123"/>
      <c r="E519" s="123"/>
      <c r="F519" s="123"/>
      <c r="G519" s="510"/>
      <c r="H519" s="510"/>
      <c r="I519" s="510"/>
      <c r="J519" s="123"/>
      <c r="K519" s="123"/>
    </row>
    <row r="520" spans="1:11" ht="12.75">
      <c r="A520" s="123"/>
      <c r="B520" s="123"/>
      <c r="C520" s="123"/>
      <c r="D520" s="123"/>
      <c r="E520" s="123"/>
      <c r="F520" s="123"/>
      <c r="G520" s="510"/>
      <c r="H520" s="510"/>
      <c r="I520" s="510"/>
      <c r="J520" s="123"/>
      <c r="K520" s="123"/>
    </row>
    <row r="521" spans="1:11" ht="12.75">
      <c r="A521" s="123"/>
      <c r="B521" s="123"/>
      <c r="C521" s="123"/>
      <c r="D521" s="123"/>
      <c r="E521" s="123"/>
      <c r="F521" s="123"/>
      <c r="G521" s="510"/>
      <c r="H521" s="510"/>
      <c r="I521" s="510"/>
      <c r="J521" s="123"/>
      <c r="K521" s="123"/>
    </row>
    <row r="522" spans="1:11" ht="12.75">
      <c r="A522" s="123"/>
      <c r="B522" s="123"/>
      <c r="C522" s="123"/>
      <c r="D522" s="123"/>
      <c r="E522" s="123"/>
      <c r="F522" s="123"/>
      <c r="G522" s="510"/>
      <c r="H522" s="510"/>
      <c r="I522" s="510"/>
      <c r="J522" s="123"/>
      <c r="K522" s="123"/>
    </row>
    <row r="523" spans="1:11" ht="12.75">
      <c r="A523" s="123"/>
      <c r="B523" s="123"/>
      <c r="C523" s="123"/>
      <c r="D523" s="123"/>
      <c r="E523" s="123"/>
      <c r="F523" s="123"/>
      <c r="G523" s="510"/>
      <c r="H523" s="510"/>
      <c r="I523" s="510"/>
      <c r="J523" s="123"/>
      <c r="K523" s="123"/>
    </row>
    <row r="524" spans="1:11" ht="12.75">
      <c r="A524" s="123"/>
      <c r="B524" s="123"/>
      <c r="C524" s="123"/>
      <c r="D524" s="123"/>
      <c r="E524" s="123"/>
      <c r="F524" s="123"/>
      <c r="G524" s="510"/>
      <c r="H524" s="510"/>
      <c r="I524" s="510"/>
      <c r="J524" s="123"/>
      <c r="K524" s="123"/>
    </row>
    <row r="525" spans="1:11" ht="12.75">
      <c r="A525" s="123"/>
      <c r="B525" s="123"/>
      <c r="C525" s="123"/>
      <c r="D525" s="123"/>
      <c r="E525" s="123"/>
      <c r="F525" s="123"/>
      <c r="G525" s="510"/>
      <c r="H525" s="510"/>
      <c r="I525" s="510"/>
      <c r="J525" s="123"/>
      <c r="K525" s="123"/>
    </row>
    <row r="526" spans="1:11" ht="12.75">
      <c r="A526" s="123"/>
      <c r="B526" s="123"/>
      <c r="C526" s="123"/>
      <c r="D526" s="123"/>
      <c r="E526" s="123"/>
      <c r="F526" s="123"/>
      <c r="G526" s="510"/>
      <c r="H526" s="510"/>
      <c r="I526" s="510"/>
      <c r="J526" s="123"/>
      <c r="K526" s="123"/>
    </row>
    <row r="527" spans="1:11" ht="12.75">
      <c r="A527" s="123"/>
      <c r="B527" s="123"/>
      <c r="C527" s="123"/>
      <c r="D527" s="123"/>
      <c r="E527" s="123"/>
      <c r="F527" s="123"/>
      <c r="G527" s="510"/>
      <c r="H527" s="510"/>
      <c r="I527" s="510"/>
      <c r="J527" s="123"/>
      <c r="K527" s="123"/>
    </row>
    <row r="528" spans="1:11" ht="12.75">
      <c r="A528" s="123"/>
      <c r="B528" s="123"/>
      <c r="C528" s="123"/>
      <c r="D528" s="123"/>
      <c r="E528" s="123"/>
      <c r="F528" s="123"/>
      <c r="G528" s="510"/>
      <c r="H528" s="510"/>
      <c r="I528" s="510"/>
      <c r="J528" s="123"/>
      <c r="K528" s="123"/>
    </row>
    <row r="529" spans="1:11" ht="12.75">
      <c r="A529" s="123"/>
      <c r="B529" s="123"/>
      <c r="C529" s="123"/>
      <c r="D529" s="123"/>
      <c r="E529" s="123"/>
      <c r="F529" s="123"/>
      <c r="G529" s="510"/>
      <c r="H529" s="510"/>
      <c r="I529" s="510"/>
      <c r="J529" s="123"/>
      <c r="K529" s="123"/>
    </row>
    <row r="530" spans="1:11" ht="12.75">
      <c r="A530" s="123"/>
      <c r="B530" s="123"/>
      <c r="C530" s="123"/>
      <c r="D530" s="123"/>
      <c r="E530" s="123"/>
      <c r="F530" s="123"/>
      <c r="G530" s="510"/>
      <c r="H530" s="510"/>
      <c r="I530" s="510"/>
      <c r="J530" s="123"/>
      <c r="K530" s="123"/>
    </row>
    <row r="531" spans="1:11" ht="12.75">
      <c r="A531" s="123"/>
      <c r="B531" s="123"/>
      <c r="C531" s="123"/>
      <c r="D531" s="123"/>
      <c r="E531" s="123"/>
      <c r="F531" s="123"/>
      <c r="G531" s="510"/>
      <c r="H531" s="510"/>
      <c r="I531" s="510"/>
      <c r="J531" s="123"/>
      <c r="K531" s="123"/>
    </row>
    <row r="532" spans="1:11" ht="12.75">
      <c r="A532" s="123"/>
      <c r="B532" s="123"/>
      <c r="C532" s="123"/>
      <c r="D532" s="123"/>
      <c r="E532" s="123"/>
      <c r="F532" s="123"/>
      <c r="G532" s="510"/>
      <c r="H532" s="510"/>
      <c r="I532" s="510"/>
      <c r="J532" s="123"/>
      <c r="K532" s="123"/>
    </row>
    <row r="533" spans="1:11" ht="12.75">
      <c r="A533" s="123"/>
      <c r="B533" s="123"/>
      <c r="C533" s="123"/>
      <c r="D533" s="123"/>
      <c r="E533" s="123"/>
      <c r="F533" s="123"/>
      <c r="G533" s="510"/>
      <c r="H533" s="510"/>
      <c r="I533" s="510"/>
      <c r="J533" s="123"/>
      <c r="K533" s="123"/>
    </row>
    <row r="534" spans="1:11" ht="12.75">
      <c r="A534" s="123"/>
      <c r="B534" s="123"/>
      <c r="C534" s="123"/>
      <c r="D534" s="123"/>
      <c r="E534" s="123"/>
      <c r="F534" s="123"/>
      <c r="G534" s="510"/>
      <c r="H534" s="510"/>
      <c r="I534" s="510"/>
      <c r="J534" s="123"/>
      <c r="K534" s="123"/>
    </row>
    <row r="535" spans="1:11" ht="12.75">
      <c r="A535" s="123"/>
      <c r="B535" s="123"/>
      <c r="C535" s="123"/>
      <c r="D535" s="123"/>
      <c r="E535" s="123"/>
      <c r="F535" s="123"/>
      <c r="G535" s="510"/>
      <c r="H535" s="510"/>
      <c r="I535" s="510"/>
      <c r="J535" s="123"/>
      <c r="K535" s="123"/>
    </row>
    <row r="536" spans="1:11" ht="12.75">
      <c r="A536" s="123"/>
      <c r="B536" s="123"/>
      <c r="C536" s="123"/>
      <c r="D536" s="123"/>
      <c r="E536" s="123"/>
      <c r="F536" s="123"/>
      <c r="G536" s="510"/>
      <c r="H536" s="510"/>
      <c r="I536" s="510"/>
      <c r="J536" s="123"/>
      <c r="K536" s="123"/>
    </row>
    <row r="537" spans="1:11" ht="12.75">
      <c r="A537" s="123"/>
      <c r="B537" s="123"/>
      <c r="C537" s="123"/>
      <c r="D537" s="123"/>
      <c r="E537" s="123"/>
      <c r="F537" s="123"/>
      <c r="G537" s="510"/>
      <c r="H537" s="510"/>
      <c r="I537" s="510"/>
      <c r="J537" s="123"/>
      <c r="K537" s="123"/>
    </row>
    <row r="538" spans="1:11" ht="12.75">
      <c r="A538" s="123"/>
      <c r="B538" s="123"/>
      <c r="C538" s="123"/>
      <c r="D538" s="123"/>
      <c r="E538" s="123"/>
      <c r="F538" s="123"/>
      <c r="G538" s="510"/>
      <c r="H538" s="510"/>
      <c r="I538" s="510"/>
      <c r="J538" s="123"/>
      <c r="K538" s="123"/>
    </row>
    <row r="539" spans="1:11" ht="12.75">
      <c r="A539" s="123"/>
      <c r="B539" s="123"/>
      <c r="C539" s="123"/>
      <c r="D539" s="123"/>
      <c r="E539" s="123"/>
      <c r="F539" s="123"/>
      <c r="G539" s="510"/>
      <c r="H539" s="510"/>
      <c r="I539" s="510"/>
      <c r="J539" s="123"/>
      <c r="K539" s="123"/>
    </row>
    <row r="540" spans="1:11" ht="12.75">
      <c r="A540" s="123"/>
      <c r="B540" s="123"/>
      <c r="C540" s="123"/>
      <c r="D540" s="123"/>
      <c r="E540" s="123"/>
      <c r="F540" s="123"/>
      <c r="G540" s="510"/>
      <c r="H540" s="510"/>
      <c r="I540" s="510"/>
      <c r="J540" s="123"/>
      <c r="K540" s="123"/>
    </row>
    <row r="541" spans="1:11" ht="12.75">
      <c r="A541" s="123"/>
      <c r="B541" s="123"/>
      <c r="C541" s="123"/>
      <c r="D541" s="123"/>
      <c r="E541" s="123"/>
      <c r="F541" s="123"/>
      <c r="G541" s="510"/>
      <c r="H541" s="510"/>
      <c r="I541" s="510"/>
      <c r="J541" s="123"/>
      <c r="K541" s="123"/>
    </row>
    <row r="542" spans="1:11" ht="12.75">
      <c r="A542" s="123"/>
      <c r="B542" s="123"/>
      <c r="C542" s="123"/>
      <c r="D542" s="123"/>
      <c r="E542" s="123"/>
      <c r="F542" s="123"/>
      <c r="G542" s="510"/>
      <c r="H542" s="510"/>
      <c r="I542" s="510"/>
      <c r="J542" s="123"/>
      <c r="K542" s="123"/>
    </row>
    <row r="543" spans="1:11" ht="12.75">
      <c r="A543" s="123"/>
      <c r="B543" s="123"/>
      <c r="C543" s="123"/>
      <c r="D543" s="123"/>
      <c r="E543" s="123"/>
      <c r="F543" s="123"/>
      <c r="G543" s="510"/>
      <c r="H543" s="510"/>
      <c r="I543" s="510"/>
      <c r="J543" s="123"/>
      <c r="K543" s="123"/>
    </row>
    <row r="544" spans="1:11" ht="12.75">
      <c r="A544" s="123"/>
      <c r="B544" s="123"/>
      <c r="C544" s="123"/>
      <c r="D544" s="123"/>
      <c r="E544" s="123"/>
      <c r="F544" s="123"/>
      <c r="G544" s="510"/>
      <c r="H544" s="510"/>
      <c r="I544" s="510"/>
      <c r="J544" s="123"/>
      <c r="K544" s="123"/>
    </row>
    <row r="545" spans="1:11" ht="12.75">
      <c r="A545" s="123"/>
      <c r="B545" s="123"/>
      <c r="C545" s="123"/>
      <c r="D545" s="123"/>
      <c r="E545" s="123"/>
      <c r="F545" s="123"/>
      <c r="G545" s="510"/>
      <c r="H545" s="510"/>
      <c r="I545" s="510"/>
      <c r="J545" s="123"/>
      <c r="K545" s="123"/>
    </row>
    <row r="546" spans="1:11" ht="12.75">
      <c r="A546" s="123"/>
      <c r="B546" s="123"/>
      <c r="C546" s="123"/>
      <c r="D546" s="123"/>
      <c r="E546" s="123"/>
      <c r="F546" s="123"/>
      <c r="G546" s="510"/>
      <c r="H546" s="510"/>
      <c r="I546" s="510"/>
      <c r="J546" s="123"/>
      <c r="K546" s="123"/>
    </row>
    <row r="547" spans="1:11" ht="12.75">
      <c r="A547" s="123"/>
      <c r="B547" s="123"/>
      <c r="C547" s="123"/>
      <c r="D547" s="123"/>
      <c r="E547" s="123"/>
      <c r="F547" s="123"/>
      <c r="G547" s="510"/>
      <c r="H547" s="510"/>
      <c r="I547" s="510"/>
      <c r="J547" s="123"/>
      <c r="K547" s="123"/>
    </row>
    <row r="548" spans="1:11" ht="12.75">
      <c r="A548" s="123"/>
      <c r="B548" s="123"/>
      <c r="C548" s="123"/>
      <c r="D548" s="123"/>
      <c r="E548" s="123"/>
      <c r="F548" s="123"/>
      <c r="G548" s="510"/>
      <c r="H548" s="510"/>
      <c r="I548" s="510"/>
      <c r="J548" s="123"/>
      <c r="K548" s="123"/>
    </row>
    <row r="549" spans="1:11" ht="12.75">
      <c r="A549" s="123"/>
      <c r="B549" s="123"/>
      <c r="C549" s="123"/>
      <c r="D549" s="123"/>
      <c r="E549" s="123"/>
      <c r="F549" s="123"/>
      <c r="G549" s="510"/>
      <c r="H549" s="510"/>
      <c r="I549" s="510"/>
      <c r="J549" s="123"/>
      <c r="K549" s="123"/>
    </row>
    <row r="550" spans="1:11" ht="12.75">
      <c r="A550" s="123"/>
      <c r="B550" s="123"/>
      <c r="C550" s="123"/>
      <c r="D550" s="123"/>
      <c r="E550" s="123"/>
      <c r="F550" s="123"/>
      <c r="G550" s="510"/>
      <c r="H550" s="510"/>
      <c r="I550" s="510"/>
      <c r="J550" s="123"/>
      <c r="K550" s="123"/>
    </row>
    <row r="551" spans="1:11" ht="12.75">
      <c r="A551" s="123"/>
      <c r="B551" s="123"/>
      <c r="C551" s="123"/>
      <c r="D551" s="123"/>
      <c r="E551" s="123"/>
      <c r="F551" s="123"/>
      <c r="G551" s="510"/>
      <c r="H551" s="510"/>
      <c r="I551" s="510"/>
      <c r="J551" s="123"/>
      <c r="K551" s="123"/>
    </row>
    <row r="552" spans="1:11" ht="12.75">
      <c r="A552" s="123"/>
      <c r="B552" s="123"/>
      <c r="C552" s="123"/>
      <c r="D552" s="123"/>
      <c r="E552" s="123"/>
      <c r="F552" s="123"/>
      <c r="G552" s="510"/>
      <c r="H552" s="510"/>
      <c r="I552" s="510"/>
      <c r="J552" s="123"/>
      <c r="K552" s="123"/>
    </row>
    <row r="553" spans="1:11" ht="12.75">
      <c r="A553" s="123"/>
      <c r="B553" s="123"/>
      <c r="C553" s="123"/>
      <c r="D553" s="123"/>
      <c r="E553" s="123"/>
      <c r="F553" s="123"/>
      <c r="G553" s="510"/>
      <c r="H553" s="510"/>
      <c r="I553" s="510"/>
      <c r="J553" s="123"/>
      <c r="K553" s="123"/>
    </row>
    <row r="554" spans="1:11" ht="12.75">
      <c r="A554" s="123"/>
      <c r="B554" s="123"/>
      <c r="C554" s="123"/>
      <c r="D554" s="123"/>
      <c r="E554" s="123"/>
      <c r="F554" s="123"/>
      <c r="G554" s="510"/>
      <c r="H554" s="510"/>
      <c r="I554" s="510"/>
      <c r="J554" s="123"/>
      <c r="K554" s="123"/>
    </row>
    <row r="555" spans="1:11" ht="12.75">
      <c r="A555" s="123"/>
      <c r="B555" s="123"/>
      <c r="C555" s="123"/>
      <c r="D555" s="123"/>
      <c r="E555" s="123"/>
      <c r="F555" s="123"/>
      <c r="G555" s="510"/>
      <c r="H555" s="510"/>
      <c r="I555" s="510"/>
      <c r="J555" s="123"/>
      <c r="K555" s="123"/>
    </row>
    <row r="556" spans="1:11" ht="12.75">
      <c r="A556" s="123"/>
      <c r="B556" s="123"/>
      <c r="C556" s="123"/>
      <c r="D556" s="123"/>
      <c r="E556" s="123"/>
      <c r="F556" s="123"/>
      <c r="G556" s="510"/>
      <c r="H556" s="510"/>
      <c r="I556" s="510"/>
      <c r="J556" s="123"/>
      <c r="K556" s="123"/>
    </row>
    <row r="557" spans="1:11" ht="12.75">
      <c r="A557" s="123"/>
      <c r="B557" s="123"/>
      <c r="C557" s="123"/>
      <c r="D557" s="123"/>
      <c r="E557" s="123"/>
      <c r="F557" s="123"/>
      <c r="G557" s="510"/>
      <c r="H557" s="510"/>
      <c r="I557" s="510"/>
      <c r="J557" s="123"/>
      <c r="K557" s="123"/>
    </row>
    <row r="558" spans="1:11" ht="12.75">
      <c r="A558" s="123"/>
      <c r="B558" s="123"/>
      <c r="C558" s="123"/>
      <c r="D558" s="123"/>
      <c r="E558" s="123"/>
      <c r="F558" s="123"/>
      <c r="G558" s="510"/>
      <c r="H558" s="510"/>
      <c r="I558" s="510"/>
      <c r="J558" s="123"/>
      <c r="K558" s="123"/>
    </row>
    <row r="559" spans="1:11" ht="12.75">
      <c r="A559" s="123"/>
      <c r="B559" s="123"/>
      <c r="C559" s="123"/>
      <c r="D559" s="123"/>
      <c r="E559" s="123"/>
      <c r="F559" s="123"/>
      <c r="G559" s="510"/>
      <c r="H559" s="510"/>
      <c r="I559" s="510"/>
      <c r="J559" s="123"/>
      <c r="K559" s="123"/>
    </row>
    <row r="560" spans="1:11" ht="12.75">
      <c r="A560" s="123"/>
      <c r="B560" s="123"/>
      <c r="C560" s="123"/>
      <c r="D560" s="123"/>
      <c r="E560" s="123"/>
      <c r="F560" s="123"/>
      <c r="G560" s="510"/>
      <c r="H560" s="510"/>
      <c r="I560" s="510"/>
      <c r="J560" s="123"/>
      <c r="K560" s="123"/>
    </row>
    <row r="561" spans="1:11" ht="12.75">
      <c r="A561" s="123"/>
      <c r="B561" s="123"/>
      <c r="C561" s="123"/>
      <c r="D561" s="123"/>
      <c r="E561" s="123"/>
      <c r="F561" s="123"/>
      <c r="G561" s="510"/>
      <c r="H561" s="510"/>
      <c r="I561" s="510"/>
      <c r="J561" s="123"/>
      <c r="K561" s="123"/>
    </row>
    <row r="562" spans="1:11" ht="12.75">
      <c r="A562" s="123"/>
      <c r="B562" s="123"/>
      <c r="C562" s="123"/>
      <c r="D562" s="123"/>
      <c r="E562" s="123"/>
      <c r="F562" s="123"/>
      <c r="G562" s="510"/>
      <c r="H562" s="510"/>
      <c r="I562" s="510"/>
      <c r="J562" s="123"/>
      <c r="K562" s="123"/>
    </row>
    <row r="563" spans="1:11" ht="12.75">
      <c r="A563" s="123"/>
      <c r="B563" s="123"/>
      <c r="C563" s="123"/>
      <c r="D563" s="123"/>
      <c r="E563" s="123"/>
      <c r="F563" s="123"/>
      <c r="G563" s="510"/>
      <c r="H563" s="510"/>
      <c r="I563" s="510"/>
      <c r="J563" s="123"/>
      <c r="K563" s="123"/>
    </row>
    <row r="564" spans="1:11" ht="12.75">
      <c r="A564" s="123"/>
      <c r="B564" s="123"/>
      <c r="C564" s="123"/>
      <c r="D564" s="123"/>
      <c r="E564" s="123"/>
      <c r="F564" s="123"/>
      <c r="G564" s="510"/>
      <c r="H564" s="510"/>
      <c r="I564" s="510"/>
      <c r="J564" s="123"/>
      <c r="K564" s="123"/>
    </row>
    <row r="565" spans="1:11" ht="12.75">
      <c r="A565" s="123"/>
      <c r="B565" s="123"/>
      <c r="C565" s="123"/>
      <c r="D565" s="123"/>
      <c r="E565" s="123"/>
      <c r="F565" s="123"/>
      <c r="G565" s="510"/>
      <c r="H565" s="510"/>
      <c r="I565" s="510"/>
      <c r="J565" s="123"/>
      <c r="K565" s="123"/>
    </row>
    <row r="566" spans="1:11" ht="12.75">
      <c r="A566" s="123"/>
      <c r="B566" s="123"/>
      <c r="C566" s="123"/>
      <c r="D566" s="123"/>
      <c r="E566" s="123"/>
      <c r="F566" s="123"/>
      <c r="G566" s="510"/>
      <c r="H566" s="510"/>
      <c r="I566" s="510"/>
      <c r="J566" s="123"/>
      <c r="K566" s="123"/>
    </row>
    <row r="567" spans="1:11" ht="12.75">
      <c r="A567" s="123"/>
      <c r="B567" s="123"/>
      <c r="C567" s="123"/>
      <c r="D567" s="123"/>
      <c r="E567" s="123"/>
      <c r="F567" s="123"/>
      <c r="G567" s="510"/>
      <c r="H567" s="510"/>
      <c r="I567" s="510"/>
      <c r="J567" s="123"/>
      <c r="K567" s="123"/>
    </row>
    <row r="568" spans="1:11" ht="12.75">
      <c r="A568" s="123"/>
      <c r="B568" s="123"/>
      <c r="C568" s="123"/>
      <c r="D568" s="123"/>
      <c r="E568" s="123"/>
      <c r="F568" s="123"/>
      <c r="G568" s="510"/>
      <c r="H568" s="510"/>
      <c r="I568" s="510"/>
      <c r="J568" s="123"/>
      <c r="K568" s="123"/>
    </row>
    <row r="569" spans="1:11" ht="12.75">
      <c r="A569" s="123"/>
      <c r="B569" s="123"/>
      <c r="C569" s="123"/>
      <c r="D569" s="123"/>
      <c r="E569" s="123"/>
      <c r="F569" s="123"/>
      <c r="G569" s="510"/>
      <c r="H569" s="510"/>
      <c r="I569" s="510"/>
      <c r="J569" s="123"/>
      <c r="K569" s="123"/>
    </row>
    <row r="570" spans="1:11" ht="12.75">
      <c r="A570" s="123"/>
      <c r="B570" s="123"/>
      <c r="C570" s="123"/>
      <c r="D570" s="123"/>
      <c r="E570" s="123"/>
      <c r="F570" s="123"/>
      <c r="G570" s="510"/>
      <c r="H570" s="510"/>
      <c r="I570" s="510"/>
      <c r="J570" s="123"/>
      <c r="K570" s="123"/>
    </row>
    <row r="571" spans="1:11" ht="12.75">
      <c r="A571" s="123"/>
      <c r="B571" s="123"/>
      <c r="C571" s="123"/>
      <c r="D571" s="123"/>
      <c r="E571" s="123"/>
      <c r="F571" s="123"/>
      <c r="G571" s="510"/>
      <c r="H571" s="510"/>
      <c r="I571" s="510"/>
      <c r="J571" s="123"/>
      <c r="K571" s="123"/>
    </row>
    <row r="572" spans="1:11" ht="12.75">
      <c r="A572" s="123"/>
      <c r="B572" s="123"/>
      <c r="C572" s="123"/>
      <c r="D572" s="123"/>
      <c r="E572" s="123"/>
      <c r="F572" s="123"/>
      <c r="G572" s="510"/>
      <c r="H572" s="510"/>
      <c r="I572" s="510"/>
      <c r="J572" s="123"/>
      <c r="K572" s="123"/>
    </row>
    <row r="573" spans="1:11" ht="12.75">
      <c r="A573" s="123"/>
      <c r="B573" s="123"/>
      <c r="C573" s="123"/>
      <c r="D573" s="123"/>
      <c r="E573" s="123"/>
      <c r="F573" s="123"/>
      <c r="G573" s="510"/>
      <c r="H573" s="510"/>
      <c r="I573" s="510"/>
      <c r="J573" s="123"/>
      <c r="K573" s="123"/>
    </row>
    <row r="574" spans="1:11" ht="12.75">
      <c r="A574" s="123"/>
      <c r="B574" s="123"/>
      <c r="C574" s="123"/>
      <c r="D574" s="123"/>
      <c r="E574" s="123"/>
      <c r="F574" s="123"/>
      <c r="G574" s="510"/>
      <c r="H574" s="510"/>
      <c r="I574" s="510"/>
      <c r="J574" s="123"/>
      <c r="K574" s="123"/>
    </row>
    <row r="575" spans="1:11" ht="12.75">
      <c r="A575" s="123"/>
      <c r="B575" s="123"/>
      <c r="C575" s="123"/>
      <c r="D575" s="123"/>
      <c r="E575" s="123"/>
      <c r="F575" s="123"/>
      <c r="G575" s="510"/>
      <c r="H575" s="510"/>
      <c r="I575" s="510"/>
      <c r="J575" s="123"/>
      <c r="K575" s="123"/>
    </row>
    <row r="576" spans="1:11" ht="12.75">
      <c r="A576" s="123"/>
      <c r="B576" s="123"/>
      <c r="C576" s="123"/>
      <c r="D576" s="123"/>
      <c r="E576" s="123"/>
      <c r="F576" s="123"/>
      <c r="G576" s="510"/>
      <c r="H576" s="510"/>
      <c r="I576" s="510"/>
      <c r="J576" s="123"/>
      <c r="K576" s="123"/>
    </row>
    <row r="577" spans="1:11" ht="12.75">
      <c r="A577" s="123"/>
      <c r="B577" s="123"/>
      <c r="C577" s="123"/>
      <c r="D577" s="123"/>
      <c r="E577" s="123"/>
      <c r="F577" s="123"/>
      <c r="G577" s="510"/>
      <c r="H577" s="510"/>
      <c r="I577" s="510"/>
      <c r="J577" s="123"/>
      <c r="K577" s="123"/>
    </row>
    <row r="578" spans="1:11" ht="12.75">
      <c r="A578" s="123"/>
      <c r="B578" s="123"/>
      <c r="C578" s="123"/>
      <c r="D578" s="123"/>
      <c r="E578" s="123"/>
      <c r="F578" s="123"/>
      <c r="G578" s="510"/>
      <c r="H578" s="510"/>
      <c r="I578" s="510"/>
      <c r="J578" s="123"/>
      <c r="K578" s="123"/>
    </row>
    <row r="579" spans="1:11" ht="12.75">
      <c r="A579" s="123"/>
      <c r="B579" s="123"/>
      <c r="C579" s="123"/>
      <c r="D579" s="123"/>
      <c r="E579" s="123"/>
      <c r="F579" s="123"/>
      <c r="G579" s="510"/>
      <c r="H579" s="510"/>
      <c r="I579" s="510"/>
      <c r="J579" s="123"/>
      <c r="K579" s="123"/>
    </row>
    <row r="580" spans="1:11" ht="12.75">
      <c r="A580" s="123"/>
      <c r="B580" s="123"/>
      <c r="C580" s="123"/>
      <c r="D580" s="123"/>
      <c r="E580" s="123"/>
      <c r="F580" s="123"/>
      <c r="G580" s="510"/>
      <c r="H580" s="510"/>
      <c r="I580" s="510"/>
      <c r="J580" s="123"/>
      <c r="K580" s="123"/>
    </row>
    <row r="581" spans="1:11" ht="12.75">
      <c r="A581" s="123"/>
      <c r="B581" s="123"/>
      <c r="C581" s="123"/>
      <c r="D581" s="123"/>
      <c r="E581" s="123"/>
      <c r="F581" s="123"/>
      <c r="G581" s="510"/>
      <c r="H581" s="510"/>
      <c r="I581" s="510"/>
      <c r="J581" s="123"/>
      <c r="K581" s="123"/>
    </row>
    <row r="582" spans="1:11" ht="12.75">
      <c r="A582" s="123"/>
      <c r="B582" s="123"/>
      <c r="C582" s="123"/>
      <c r="D582" s="123"/>
      <c r="E582" s="123"/>
      <c r="F582" s="123"/>
      <c r="G582" s="510"/>
      <c r="H582" s="510"/>
      <c r="I582" s="510"/>
      <c r="J582" s="123"/>
      <c r="K582" s="123"/>
    </row>
    <row r="583" spans="1:11" ht="12.75">
      <c r="A583" s="123"/>
      <c r="B583" s="123"/>
      <c r="C583" s="123"/>
      <c r="D583" s="123"/>
      <c r="E583" s="123"/>
      <c r="F583" s="123"/>
      <c r="G583" s="510"/>
      <c r="H583" s="510"/>
      <c r="I583" s="510"/>
      <c r="J583" s="123"/>
      <c r="K583" s="123"/>
    </row>
    <row r="584" spans="1:11" ht="12.75">
      <c r="A584" s="123"/>
      <c r="B584" s="123"/>
      <c r="C584" s="123"/>
      <c r="D584" s="123"/>
      <c r="E584" s="123"/>
      <c r="F584" s="123"/>
      <c r="G584" s="510"/>
      <c r="H584" s="510"/>
      <c r="I584" s="510"/>
      <c r="J584" s="123"/>
      <c r="K584" s="123"/>
    </row>
    <row r="585" spans="1:11" ht="12.75">
      <c r="A585" s="123"/>
      <c r="B585" s="123"/>
      <c r="C585" s="123"/>
      <c r="D585" s="123"/>
      <c r="E585" s="123"/>
      <c r="F585" s="123"/>
      <c r="G585" s="510"/>
      <c r="H585" s="510"/>
      <c r="I585" s="510"/>
      <c r="J585" s="123"/>
      <c r="K585" s="123"/>
    </row>
    <row r="586" spans="1:11" ht="12.75">
      <c r="A586" s="123"/>
      <c r="B586" s="123"/>
      <c r="C586" s="123"/>
      <c r="D586" s="123"/>
      <c r="E586" s="123"/>
      <c r="F586" s="123"/>
      <c r="G586" s="510"/>
      <c r="H586" s="510"/>
      <c r="I586" s="510"/>
      <c r="J586" s="123"/>
      <c r="K586" s="123"/>
    </row>
    <row r="587" spans="1:11" ht="12.75">
      <c r="A587" s="123"/>
      <c r="B587" s="123"/>
      <c r="C587" s="123"/>
      <c r="D587" s="123"/>
      <c r="E587" s="123"/>
      <c r="F587" s="123"/>
      <c r="G587" s="510"/>
      <c r="H587" s="510"/>
      <c r="I587" s="510"/>
      <c r="J587" s="123"/>
      <c r="K587" s="123"/>
    </row>
    <row r="588" spans="1:11" ht="12.75">
      <c r="A588" s="123"/>
      <c r="B588" s="123"/>
      <c r="C588" s="123"/>
      <c r="D588" s="123"/>
      <c r="E588" s="123"/>
      <c r="F588" s="123"/>
      <c r="G588" s="510"/>
      <c r="H588" s="510"/>
      <c r="I588" s="510"/>
      <c r="J588" s="123"/>
      <c r="K588" s="123"/>
    </row>
    <row r="589" spans="1:11" ht="12.75">
      <c r="A589" s="123"/>
      <c r="B589" s="123"/>
      <c r="C589" s="123"/>
      <c r="D589" s="123"/>
      <c r="E589" s="123"/>
      <c r="F589" s="123"/>
      <c r="G589" s="510"/>
      <c r="H589" s="510"/>
      <c r="I589" s="510"/>
      <c r="J589" s="123"/>
      <c r="K589" s="123"/>
    </row>
    <row r="590" spans="1:11" ht="12.75">
      <c r="A590" s="123"/>
      <c r="B590" s="123"/>
      <c r="C590" s="123"/>
      <c r="D590" s="123"/>
      <c r="E590" s="123"/>
      <c r="F590" s="123"/>
      <c r="G590" s="510"/>
      <c r="H590" s="510"/>
      <c r="I590" s="510"/>
      <c r="J590" s="123"/>
      <c r="K590" s="123"/>
    </row>
    <row r="591" spans="1:11" ht="12.75">
      <c r="A591" s="123"/>
      <c r="B591" s="123"/>
      <c r="C591" s="123"/>
      <c r="D591" s="123"/>
      <c r="E591" s="123"/>
      <c r="F591" s="123"/>
      <c r="G591" s="510"/>
      <c r="H591" s="510"/>
      <c r="I591" s="510"/>
      <c r="J591" s="123"/>
      <c r="K591" s="123"/>
    </row>
    <row r="592" spans="1:11" ht="12.75">
      <c r="A592" s="123"/>
      <c r="B592" s="123"/>
      <c r="C592" s="123"/>
      <c r="D592" s="123"/>
      <c r="E592" s="123"/>
      <c r="F592" s="123"/>
      <c r="G592" s="510"/>
      <c r="H592" s="510"/>
      <c r="I592" s="510"/>
      <c r="J592" s="123"/>
      <c r="K592" s="123"/>
    </row>
    <row r="593" spans="1:11" ht="12.75">
      <c r="A593" s="123"/>
      <c r="B593" s="123"/>
      <c r="C593" s="123"/>
      <c r="D593" s="123"/>
      <c r="E593" s="123"/>
      <c r="F593" s="123"/>
      <c r="G593" s="510"/>
      <c r="H593" s="510"/>
      <c r="I593" s="510"/>
      <c r="J593" s="123"/>
      <c r="K593" s="123"/>
    </row>
    <row r="594" spans="1:11" ht="12.75">
      <c r="A594" s="123"/>
      <c r="B594" s="123"/>
      <c r="C594" s="123"/>
      <c r="D594" s="123"/>
      <c r="E594" s="123"/>
      <c r="F594" s="123"/>
      <c r="G594" s="510"/>
      <c r="H594" s="510"/>
      <c r="I594" s="510"/>
      <c r="J594" s="123"/>
      <c r="K594" s="123"/>
    </row>
    <row r="595" spans="1:11" ht="12.75">
      <c r="A595" s="123"/>
      <c r="B595" s="123"/>
      <c r="C595" s="123"/>
      <c r="D595" s="123"/>
      <c r="E595" s="123"/>
      <c r="F595" s="123"/>
      <c r="G595" s="510"/>
      <c r="H595" s="510"/>
      <c r="I595" s="510"/>
      <c r="J595" s="123"/>
      <c r="K595" s="123"/>
    </row>
    <row r="596" spans="1:11" ht="12.75">
      <c r="A596" s="123"/>
      <c r="B596" s="123"/>
      <c r="C596" s="123"/>
      <c r="D596" s="123"/>
      <c r="E596" s="123"/>
      <c r="F596" s="123"/>
      <c r="G596" s="510"/>
      <c r="H596" s="510"/>
      <c r="I596" s="510"/>
      <c r="J596" s="123"/>
      <c r="K596" s="123"/>
    </row>
    <row r="597" spans="1:11" ht="12.75">
      <c r="A597" s="123"/>
      <c r="B597" s="123"/>
      <c r="C597" s="123"/>
      <c r="D597" s="123"/>
      <c r="E597" s="123"/>
      <c r="F597" s="123"/>
      <c r="G597" s="510"/>
      <c r="H597" s="510"/>
      <c r="I597" s="510"/>
      <c r="J597" s="123"/>
      <c r="K597" s="123"/>
    </row>
    <row r="598" spans="1:11" ht="12.75">
      <c r="A598" s="123"/>
      <c r="B598" s="123"/>
      <c r="C598" s="123"/>
      <c r="D598" s="123"/>
      <c r="E598" s="123"/>
      <c r="F598" s="123"/>
      <c r="G598" s="510"/>
      <c r="H598" s="510"/>
      <c r="I598" s="510"/>
      <c r="J598" s="123"/>
      <c r="K598" s="123"/>
    </row>
    <row r="599" spans="1:11" ht="12.75">
      <c r="A599" s="123"/>
      <c r="B599" s="123"/>
      <c r="C599" s="123"/>
      <c r="D599" s="123"/>
      <c r="E599" s="123"/>
      <c r="F599" s="123"/>
      <c r="G599" s="510"/>
      <c r="H599" s="510"/>
      <c r="I599" s="510"/>
      <c r="J599" s="123"/>
      <c r="K599" s="123"/>
    </row>
    <row r="600" spans="1:11" ht="12.75">
      <c r="A600" s="123"/>
      <c r="B600" s="123"/>
      <c r="C600" s="123"/>
      <c r="D600" s="123"/>
      <c r="E600" s="123"/>
      <c r="F600" s="123"/>
      <c r="G600" s="510"/>
      <c r="H600" s="510"/>
      <c r="I600" s="510"/>
      <c r="J600" s="123"/>
      <c r="K600" s="123"/>
    </row>
    <row r="601" spans="1:11" ht="12.75">
      <c r="A601" s="123"/>
      <c r="B601" s="123"/>
      <c r="C601" s="123"/>
      <c r="D601" s="123"/>
      <c r="E601" s="123"/>
      <c r="F601" s="123"/>
      <c r="G601" s="510"/>
      <c r="H601" s="510"/>
      <c r="I601" s="510"/>
      <c r="J601" s="123"/>
      <c r="K601" s="123"/>
    </row>
    <row r="602" spans="1:11" ht="12.75">
      <c r="A602" s="123"/>
      <c r="B602" s="123"/>
      <c r="C602" s="123"/>
      <c r="D602" s="123"/>
      <c r="E602" s="123"/>
      <c r="F602" s="123"/>
      <c r="G602" s="510"/>
      <c r="H602" s="510"/>
      <c r="I602" s="510"/>
      <c r="J602" s="123"/>
      <c r="K602" s="123"/>
    </row>
    <row r="603" spans="1:11" ht="12.75">
      <c r="A603" s="123"/>
      <c r="B603" s="123"/>
      <c r="C603" s="123"/>
      <c r="D603" s="123"/>
      <c r="E603" s="123"/>
      <c r="F603" s="123"/>
      <c r="G603" s="510"/>
      <c r="H603" s="510"/>
      <c r="I603" s="510"/>
      <c r="J603" s="123"/>
      <c r="K603" s="123"/>
    </row>
    <row r="604" spans="1:11" ht="12.75">
      <c r="A604" s="123"/>
      <c r="B604" s="123"/>
      <c r="C604" s="123"/>
      <c r="D604" s="123"/>
      <c r="E604" s="123"/>
      <c r="F604" s="123"/>
      <c r="G604" s="510"/>
      <c r="H604" s="510"/>
      <c r="I604" s="510"/>
      <c r="J604" s="123"/>
      <c r="K604" s="123"/>
    </row>
    <row r="605" spans="1:11" ht="12.75">
      <c r="A605" s="123"/>
      <c r="B605" s="123"/>
      <c r="C605" s="123"/>
      <c r="D605" s="123"/>
      <c r="E605" s="123"/>
      <c r="F605" s="123"/>
      <c r="G605" s="510"/>
      <c r="H605" s="510"/>
      <c r="I605" s="510"/>
      <c r="J605" s="123"/>
      <c r="K605" s="123"/>
    </row>
    <row r="606" spans="1:11" ht="12.75">
      <c r="A606" s="123"/>
      <c r="B606" s="123"/>
      <c r="C606" s="123"/>
      <c r="D606" s="123"/>
      <c r="E606" s="123"/>
      <c r="F606" s="123"/>
      <c r="G606" s="510"/>
      <c r="H606" s="510"/>
      <c r="I606" s="510"/>
      <c r="J606" s="123"/>
      <c r="K606" s="123"/>
    </row>
    <row r="607" spans="1:11" ht="12.75">
      <c r="A607" s="123"/>
      <c r="B607" s="123"/>
      <c r="C607" s="123"/>
      <c r="D607" s="123"/>
      <c r="E607" s="123"/>
      <c r="F607" s="123"/>
      <c r="G607" s="510"/>
      <c r="H607" s="510"/>
      <c r="I607" s="510"/>
      <c r="J607" s="123"/>
      <c r="K607" s="123"/>
    </row>
    <row r="608" spans="1:11" ht="12.75">
      <c r="A608" s="123"/>
      <c r="B608" s="123"/>
      <c r="C608" s="123"/>
      <c r="D608" s="123"/>
      <c r="E608" s="123"/>
      <c r="F608" s="123"/>
      <c r="G608" s="510"/>
      <c r="H608" s="510"/>
      <c r="I608" s="510"/>
      <c r="J608" s="123"/>
      <c r="K608" s="123"/>
    </row>
    <row r="609" spans="1:11" ht="12.75">
      <c r="A609" s="123"/>
      <c r="B609" s="123"/>
      <c r="C609" s="123"/>
      <c r="D609" s="123"/>
      <c r="E609" s="123"/>
      <c r="F609" s="123"/>
      <c r="G609" s="510"/>
      <c r="H609" s="510"/>
      <c r="I609" s="510"/>
      <c r="J609" s="123"/>
      <c r="K609" s="123"/>
    </row>
    <row r="610" spans="1:11" ht="12.75">
      <c r="A610" s="123"/>
      <c r="B610" s="123"/>
      <c r="C610" s="123"/>
      <c r="D610" s="123"/>
      <c r="E610" s="123"/>
      <c r="F610" s="123"/>
      <c r="G610" s="510"/>
      <c r="H610" s="510"/>
      <c r="I610" s="510"/>
      <c r="J610" s="123"/>
      <c r="K610" s="123"/>
    </row>
    <row r="611" spans="1:11" ht="12.75">
      <c r="A611" s="123"/>
      <c r="B611" s="123"/>
      <c r="C611" s="123"/>
      <c r="D611" s="123"/>
      <c r="E611" s="123"/>
      <c r="F611" s="123"/>
      <c r="G611" s="510"/>
      <c r="H611" s="510"/>
      <c r="I611" s="510"/>
      <c r="J611" s="123"/>
      <c r="K611" s="123"/>
    </row>
    <row r="612" spans="1:11" ht="12.75">
      <c r="A612" s="123"/>
      <c r="B612" s="123"/>
      <c r="C612" s="123"/>
      <c r="D612" s="123"/>
      <c r="E612" s="123"/>
      <c r="F612" s="123"/>
      <c r="G612" s="510"/>
      <c r="H612" s="510"/>
      <c r="I612" s="510"/>
      <c r="J612" s="123"/>
      <c r="K612" s="123"/>
    </row>
    <row r="613" spans="1:11" ht="12.75">
      <c r="A613" s="123"/>
      <c r="B613" s="123"/>
      <c r="C613" s="123"/>
      <c r="D613" s="123"/>
      <c r="E613" s="123"/>
      <c r="F613" s="123"/>
      <c r="G613" s="510"/>
      <c r="H613" s="510"/>
      <c r="I613" s="510"/>
      <c r="J613" s="123"/>
      <c r="K613" s="123"/>
    </row>
    <row r="614" spans="1:11" ht="12.75">
      <c r="A614" s="123"/>
      <c r="B614" s="123"/>
      <c r="C614" s="123"/>
      <c r="D614" s="123"/>
      <c r="E614" s="123"/>
      <c r="F614" s="123"/>
      <c r="G614" s="510"/>
      <c r="H614" s="510"/>
      <c r="I614" s="510"/>
      <c r="J614" s="123"/>
      <c r="K614" s="123"/>
    </row>
    <row r="615" spans="1:11" ht="12.75">
      <c r="A615" s="123"/>
      <c r="B615" s="123"/>
      <c r="C615" s="123"/>
      <c r="D615" s="123"/>
      <c r="E615" s="123"/>
      <c r="F615" s="123"/>
      <c r="G615" s="510"/>
      <c r="H615" s="510"/>
      <c r="I615" s="510"/>
      <c r="J615" s="123"/>
      <c r="K615" s="123"/>
    </row>
    <row r="616" spans="1:11" ht="12.75">
      <c r="A616" s="123"/>
      <c r="B616" s="123"/>
      <c r="C616" s="123"/>
      <c r="D616" s="123"/>
      <c r="E616" s="123"/>
      <c r="F616" s="123"/>
      <c r="G616" s="510"/>
      <c r="H616" s="510"/>
      <c r="I616" s="510"/>
      <c r="J616" s="123"/>
      <c r="K616" s="123"/>
    </row>
    <row r="617" spans="1:11" ht="12.75">
      <c r="A617" s="123"/>
      <c r="B617" s="123"/>
      <c r="C617" s="123"/>
      <c r="D617" s="123"/>
      <c r="E617" s="123"/>
      <c r="F617" s="123"/>
      <c r="G617" s="510"/>
      <c r="H617" s="510"/>
      <c r="I617" s="510"/>
      <c r="J617" s="123"/>
      <c r="K617" s="123"/>
    </row>
    <row r="618" spans="1:11" ht="12.75">
      <c r="A618" s="123"/>
      <c r="B618" s="123"/>
      <c r="C618" s="123"/>
      <c r="D618" s="123"/>
      <c r="E618" s="123"/>
      <c r="F618" s="123"/>
      <c r="G618" s="510"/>
      <c r="H618" s="510"/>
      <c r="I618" s="510"/>
      <c r="J618" s="123"/>
      <c r="K618" s="123"/>
    </row>
    <row r="619" spans="1:11" ht="12.75">
      <c r="A619" s="123"/>
      <c r="B619" s="123"/>
      <c r="C619" s="123"/>
      <c r="D619" s="123"/>
      <c r="E619" s="123"/>
      <c r="F619" s="123"/>
      <c r="G619" s="510"/>
      <c r="H619" s="510"/>
      <c r="I619" s="510"/>
      <c r="J619" s="123"/>
      <c r="K619" s="123"/>
    </row>
    <row r="620" spans="1:11" ht="12.75">
      <c r="A620" s="123"/>
      <c r="B620" s="123"/>
      <c r="C620" s="123"/>
      <c r="D620" s="123"/>
      <c r="E620" s="123"/>
      <c r="F620" s="123"/>
      <c r="G620" s="510"/>
      <c r="H620" s="510"/>
      <c r="I620" s="510"/>
      <c r="J620" s="123"/>
      <c r="K620" s="123"/>
    </row>
    <row r="621" spans="1:11" ht="12.75">
      <c r="A621" s="123"/>
      <c r="B621" s="123"/>
      <c r="C621" s="123"/>
      <c r="D621" s="123"/>
      <c r="E621" s="123"/>
      <c r="F621" s="123"/>
      <c r="G621" s="510"/>
      <c r="H621" s="510"/>
      <c r="I621" s="510"/>
      <c r="J621" s="123"/>
      <c r="K621" s="123"/>
    </row>
    <row r="622" spans="1:11" ht="12.75">
      <c r="A622" s="123"/>
      <c r="B622" s="123"/>
      <c r="C622" s="123"/>
      <c r="D622" s="123"/>
      <c r="E622" s="123"/>
      <c r="F622" s="123"/>
      <c r="G622" s="510"/>
      <c r="H622" s="510"/>
      <c r="I622" s="510"/>
      <c r="J622" s="123"/>
      <c r="K622" s="123"/>
    </row>
    <row r="623" spans="1:11" ht="12.75">
      <c r="A623" s="123"/>
      <c r="B623" s="123"/>
      <c r="C623" s="123"/>
      <c r="D623" s="123"/>
      <c r="E623" s="123"/>
      <c r="F623" s="123"/>
      <c r="G623" s="510"/>
      <c r="H623" s="510"/>
      <c r="I623" s="510"/>
      <c r="J623" s="123"/>
      <c r="K623" s="123"/>
    </row>
    <row r="624" spans="1:11" ht="12.75">
      <c r="A624" s="123"/>
      <c r="B624" s="123"/>
      <c r="C624" s="123"/>
      <c r="D624" s="123"/>
      <c r="E624" s="123"/>
      <c r="F624" s="123"/>
      <c r="G624" s="510"/>
      <c r="H624" s="510"/>
      <c r="I624" s="510"/>
      <c r="J624" s="123"/>
      <c r="K624" s="123"/>
    </row>
    <row r="625" spans="1:11" ht="12.75">
      <c r="A625" s="123"/>
      <c r="B625" s="123"/>
      <c r="C625" s="123"/>
      <c r="D625" s="123"/>
      <c r="E625" s="123"/>
      <c r="F625" s="123"/>
      <c r="G625" s="510"/>
      <c r="H625" s="510"/>
      <c r="I625" s="510"/>
      <c r="J625" s="123"/>
      <c r="K625" s="123"/>
    </row>
    <row r="626" spans="1:11" ht="12.75">
      <c r="A626" s="123"/>
      <c r="B626" s="123"/>
      <c r="C626" s="123"/>
      <c r="D626" s="123"/>
      <c r="E626" s="123"/>
      <c r="F626" s="123"/>
      <c r="G626" s="510"/>
      <c r="H626" s="510"/>
      <c r="I626" s="510"/>
      <c r="J626" s="123"/>
      <c r="K626" s="123"/>
    </row>
    <row r="627" spans="1:11" ht="12.75">
      <c r="A627" s="123"/>
      <c r="B627" s="123"/>
      <c r="C627" s="123"/>
      <c r="D627" s="123"/>
      <c r="E627" s="123"/>
      <c r="F627" s="123"/>
      <c r="G627" s="510"/>
      <c r="H627" s="510"/>
      <c r="I627" s="510"/>
      <c r="J627" s="123"/>
      <c r="K627" s="123"/>
    </row>
    <row r="628" spans="1:11" ht="12.75">
      <c r="A628" s="123"/>
      <c r="B628" s="123"/>
      <c r="C628" s="123"/>
      <c r="D628" s="123"/>
      <c r="E628" s="123"/>
      <c r="F628" s="123"/>
      <c r="G628" s="510"/>
      <c r="H628" s="510"/>
      <c r="I628" s="510"/>
      <c r="J628" s="123"/>
      <c r="K628" s="123"/>
    </row>
    <row r="629" spans="1:11" ht="12.75">
      <c r="A629" s="123"/>
      <c r="B629" s="123"/>
      <c r="C629" s="123"/>
      <c r="D629" s="123"/>
      <c r="E629" s="123"/>
      <c r="F629" s="123"/>
      <c r="G629" s="510"/>
      <c r="H629" s="510"/>
      <c r="I629" s="510"/>
      <c r="J629" s="123"/>
      <c r="K629" s="123"/>
    </row>
    <row r="630" spans="1:11" ht="12.75">
      <c r="A630" s="123"/>
      <c r="B630" s="123"/>
      <c r="C630" s="123"/>
      <c r="D630" s="123"/>
      <c r="E630" s="123"/>
      <c r="F630" s="123"/>
      <c r="G630" s="510"/>
      <c r="H630" s="510"/>
      <c r="I630" s="510"/>
      <c r="J630" s="123"/>
      <c r="K630" s="123"/>
    </row>
    <row r="631" spans="1:11" ht="12.75">
      <c r="A631" s="123"/>
      <c r="B631" s="123"/>
      <c r="C631" s="123"/>
      <c r="D631" s="123"/>
      <c r="E631" s="123"/>
      <c r="F631" s="123"/>
      <c r="G631" s="510"/>
      <c r="H631" s="510"/>
      <c r="I631" s="510"/>
      <c r="J631" s="123"/>
      <c r="K631" s="123"/>
    </row>
    <row r="632" spans="1:11" ht="12.75">
      <c r="A632" s="123"/>
      <c r="B632" s="123"/>
      <c r="C632" s="123"/>
      <c r="D632" s="123"/>
      <c r="E632" s="123"/>
      <c r="F632" s="123"/>
      <c r="G632" s="510"/>
      <c r="H632" s="510"/>
      <c r="I632" s="510"/>
      <c r="J632" s="123"/>
      <c r="K632" s="123"/>
    </row>
    <row r="633" spans="1:11" ht="12.75">
      <c r="A633" s="123"/>
      <c r="B633" s="123"/>
      <c r="C633" s="123"/>
      <c r="D633" s="123"/>
      <c r="E633" s="123"/>
      <c r="F633" s="123"/>
      <c r="G633" s="510"/>
      <c r="H633" s="510"/>
      <c r="I633" s="510"/>
      <c r="J633" s="123"/>
      <c r="K633" s="123"/>
    </row>
    <row r="634" spans="1:11" ht="12.75">
      <c r="A634" s="123"/>
      <c r="B634" s="123"/>
      <c r="C634" s="123"/>
      <c r="D634" s="123"/>
      <c r="E634" s="123"/>
      <c r="F634" s="123"/>
      <c r="G634" s="510"/>
      <c r="H634" s="510"/>
      <c r="I634" s="510"/>
      <c r="J634" s="123"/>
      <c r="K634" s="123"/>
    </row>
    <row r="635" spans="1:11" ht="12.75">
      <c r="A635" s="123"/>
      <c r="B635" s="123"/>
      <c r="C635" s="123"/>
      <c r="D635" s="123"/>
      <c r="E635" s="123"/>
      <c r="F635" s="123"/>
      <c r="G635" s="510"/>
      <c r="H635" s="510"/>
      <c r="I635" s="510"/>
      <c r="J635" s="123"/>
      <c r="K635" s="123"/>
    </row>
    <row r="636" spans="1:11" ht="12.75">
      <c r="A636" s="123"/>
      <c r="B636" s="123"/>
      <c r="C636" s="123"/>
      <c r="D636" s="123"/>
      <c r="E636" s="123"/>
      <c r="F636" s="123"/>
      <c r="G636" s="510"/>
      <c r="H636" s="510"/>
      <c r="I636" s="510"/>
      <c r="J636" s="123"/>
      <c r="K636" s="123"/>
    </row>
    <row r="637" spans="1:11" ht="12.75">
      <c r="A637" s="123"/>
      <c r="B637" s="123"/>
      <c r="C637" s="123"/>
      <c r="D637" s="123"/>
      <c r="E637" s="123"/>
      <c r="F637" s="123"/>
      <c r="G637" s="510"/>
      <c r="H637" s="510"/>
      <c r="I637" s="510"/>
      <c r="J637" s="123"/>
      <c r="K637" s="123"/>
    </row>
    <row r="638" spans="1:11" ht="12.75">
      <c r="A638" s="123"/>
      <c r="B638" s="123"/>
      <c r="C638" s="123"/>
      <c r="D638" s="123"/>
      <c r="E638" s="123"/>
      <c r="F638" s="123"/>
      <c r="G638" s="510"/>
      <c r="H638" s="510"/>
      <c r="I638" s="510"/>
      <c r="J638" s="123"/>
      <c r="K638" s="123"/>
    </row>
    <row r="639" spans="1:11" ht="12.75">
      <c r="A639" s="123"/>
      <c r="B639" s="123"/>
      <c r="C639" s="123"/>
      <c r="D639" s="123"/>
      <c r="E639" s="123"/>
      <c r="F639" s="123"/>
      <c r="G639" s="510"/>
      <c r="H639" s="510"/>
      <c r="I639" s="510"/>
      <c r="J639" s="123"/>
      <c r="K639" s="123"/>
    </row>
    <row r="640" spans="1:11" ht="12.75">
      <c r="A640" s="123"/>
      <c r="B640" s="123"/>
      <c r="C640" s="123"/>
      <c r="D640" s="123"/>
      <c r="E640" s="123"/>
      <c r="F640" s="123"/>
      <c r="G640" s="510"/>
      <c r="H640" s="510"/>
      <c r="I640" s="510"/>
      <c r="J640" s="123"/>
      <c r="K640" s="123"/>
    </row>
    <row r="641" spans="1:11" ht="12.75">
      <c r="A641" s="123"/>
      <c r="B641" s="123"/>
      <c r="C641" s="123"/>
      <c r="D641" s="123"/>
      <c r="E641" s="123"/>
      <c r="F641" s="123"/>
      <c r="G641" s="510"/>
      <c r="H641" s="510"/>
      <c r="I641" s="510"/>
      <c r="J641" s="123"/>
      <c r="K641" s="123"/>
    </row>
    <row r="642" spans="1:11" ht="12.75">
      <c r="A642" s="123"/>
      <c r="B642" s="123"/>
      <c r="C642" s="123"/>
      <c r="D642" s="123"/>
      <c r="E642" s="123"/>
      <c r="F642" s="123"/>
      <c r="G642" s="510"/>
      <c r="H642" s="510"/>
      <c r="I642" s="510"/>
      <c r="J642" s="123"/>
      <c r="K642" s="123"/>
    </row>
    <row r="643" spans="1:11" ht="12.75">
      <c r="A643" s="123"/>
      <c r="B643" s="123"/>
      <c r="C643" s="123"/>
      <c r="D643" s="123"/>
      <c r="E643" s="123"/>
      <c r="F643" s="123"/>
      <c r="G643" s="510"/>
      <c r="H643" s="510"/>
      <c r="I643" s="510"/>
      <c r="J643" s="123"/>
      <c r="K643" s="123"/>
    </row>
    <row r="644" spans="1:11" ht="12.75">
      <c r="A644" s="123"/>
      <c r="B644" s="123"/>
      <c r="C644" s="123"/>
      <c r="D644" s="123"/>
      <c r="E644" s="123"/>
      <c r="F644" s="123"/>
      <c r="G644" s="510"/>
      <c r="H644" s="510"/>
      <c r="I644" s="510"/>
      <c r="J644" s="123"/>
      <c r="K644" s="123"/>
    </row>
    <row r="645" spans="1:11" ht="12.75">
      <c r="A645" s="123"/>
      <c r="B645" s="123"/>
      <c r="C645" s="123"/>
      <c r="D645" s="123"/>
      <c r="E645" s="123"/>
      <c r="F645" s="123"/>
      <c r="G645" s="510"/>
      <c r="H645" s="510"/>
      <c r="I645" s="510"/>
      <c r="J645" s="123"/>
      <c r="K645" s="123"/>
    </row>
    <row r="646" spans="1:11" ht="12.75">
      <c r="A646" s="123"/>
      <c r="B646" s="123"/>
      <c r="C646" s="123"/>
      <c r="D646" s="123"/>
      <c r="E646" s="123"/>
      <c r="F646" s="123"/>
      <c r="G646" s="510"/>
      <c r="H646" s="510"/>
      <c r="I646" s="510"/>
      <c r="J646" s="123"/>
      <c r="K646" s="123"/>
    </row>
    <row r="647" spans="1:11" ht="12.75">
      <c r="A647" s="123"/>
      <c r="B647" s="123"/>
      <c r="C647" s="123"/>
      <c r="D647" s="123"/>
      <c r="E647" s="123"/>
      <c r="F647" s="123"/>
      <c r="G647" s="510"/>
      <c r="H647" s="510"/>
      <c r="I647" s="510"/>
      <c r="J647" s="123"/>
      <c r="K647" s="123"/>
    </row>
    <row r="648" spans="1:11" ht="12.75">
      <c r="A648" s="123"/>
      <c r="B648" s="123"/>
      <c r="C648" s="123"/>
      <c r="D648" s="123"/>
      <c r="E648" s="123"/>
      <c r="F648" s="123"/>
      <c r="G648" s="510"/>
      <c r="H648" s="510"/>
      <c r="I648" s="510"/>
      <c r="J648" s="123"/>
      <c r="K648" s="123"/>
    </row>
    <row r="649" spans="1:11" ht="12.75">
      <c r="A649" s="123"/>
      <c r="B649" s="123"/>
      <c r="C649" s="123"/>
      <c r="D649" s="123"/>
      <c r="E649" s="123"/>
      <c r="F649" s="123"/>
      <c r="G649" s="510"/>
      <c r="H649" s="510"/>
      <c r="I649" s="510"/>
      <c r="J649" s="123"/>
      <c r="K649" s="123"/>
    </row>
    <row r="650" spans="1:11" ht="12.75">
      <c r="A650" s="123"/>
      <c r="B650" s="123"/>
      <c r="C650" s="123"/>
      <c r="D650" s="123"/>
      <c r="E650" s="123"/>
      <c r="F650" s="123"/>
      <c r="G650" s="510"/>
      <c r="H650" s="510"/>
      <c r="I650" s="510"/>
      <c r="J650" s="123"/>
      <c r="K650" s="123"/>
    </row>
    <row r="651" spans="1:11" ht="12.75">
      <c r="A651" s="123"/>
      <c r="B651" s="123"/>
      <c r="C651" s="123"/>
      <c r="D651" s="123"/>
      <c r="E651" s="123"/>
      <c r="F651" s="123"/>
      <c r="G651" s="510"/>
      <c r="H651" s="510"/>
      <c r="I651" s="510"/>
      <c r="J651" s="123"/>
      <c r="K651" s="123"/>
    </row>
    <row r="652" spans="1:11" ht="12.75">
      <c r="A652" s="123"/>
      <c r="B652" s="123"/>
      <c r="C652" s="123"/>
      <c r="D652" s="123"/>
      <c r="E652" s="123"/>
      <c r="F652" s="123"/>
      <c r="G652" s="510"/>
      <c r="H652" s="510"/>
      <c r="I652" s="510"/>
      <c r="J652" s="123"/>
      <c r="K652" s="123"/>
    </row>
    <row r="653" spans="1:11" ht="12.75">
      <c r="A653" s="123"/>
      <c r="B653" s="123"/>
      <c r="C653" s="123"/>
      <c r="D653" s="123"/>
      <c r="E653" s="123"/>
      <c r="F653" s="123"/>
      <c r="G653" s="510"/>
      <c r="H653" s="510"/>
      <c r="I653" s="510"/>
      <c r="J653" s="123"/>
      <c r="K653" s="123"/>
    </row>
    <row r="654" spans="1:11" ht="12.75">
      <c r="A654" s="123"/>
      <c r="B654" s="123"/>
      <c r="C654" s="123"/>
      <c r="D654" s="123"/>
      <c r="E654" s="123"/>
      <c r="F654" s="123"/>
      <c r="G654" s="510"/>
      <c r="H654" s="510"/>
      <c r="I654" s="510"/>
      <c r="J654" s="123"/>
      <c r="K654" s="123"/>
    </row>
    <row r="655" spans="1:11" ht="12.75">
      <c r="A655" s="123"/>
      <c r="B655" s="123"/>
      <c r="C655" s="123"/>
      <c r="D655" s="123"/>
      <c r="E655" s="123"/>
      <c r="F655" s="123"/>
      <c r="G655" s="510"/>
      <c r="H655" s="510"/>
      <c r="I655" s="510"/>
      <c r="J655" s="123"/>
      <c r="K655" s="123"/>
    </row>
    <row r="656" spans="1:11" ht="12.75">
      <c r="A656" s="123"/>
      <c r="B656" s="123"/>
      <c r="C656" s="123"/>
      <c r="D656" s="123"/>
      <c r="E656" s="123"/>
      <c r="F656" s="123"/>
      <c r="G656" s="510"/>
      <c r="H656" s="510"/>
      <c r="I656" s="510"/>
      <c r="J656" s="123"/>
      <c r="K656" s="123"/>
    </row>
    <row r="657" spans="1:11" ht="12.75">
      <c r="A657" s="123"/>
      <c r="B657" s="123"/>
      <c r="C657" s="123"/>
      <c r="D657" s="123"/>
      <c r="E657" s="123"/>
      <c r="F657" s="123"/>
      <c r="G657" s="510"/>
      <c r="H657" s="510"/>
      <c r="I657" s="510"/>
      <c r="J657" s="123"/>
      <c r="K657" s="123"/>
    </row>
    <row r="658" spans="1:11" ht="12.75">
      <c r="A658" s="123"/>
      <c r="B658" s="123"/>
      <c r="C658" s="123"/>
      <c r="D658" s="123"/>
      <c r="E658" s="123"/>
      <c r="F658" s="123"/>
      <c r="G658" s="510"/>
      <c r="H658" s="510"/>
      <c r="I658" s="510"/>
      <c r="J658" s="123"/>
      <c r="K658" s="123"/>
    </row>
    <row r="659" spans="1:11" ht="12.75">
      <c r="A659" s="123"/>
      <c r="B659" s="123"/>
      <c r="C659" s="123"/>
      <c r="D659" s="123"/>
      <c r="E659" s="123"/>
      <c r="F659" s="123"/>
      <c r="G659" s="510"/>
      <c r="H659" s="510"/>
      <c r="I659" s="510"/>
      <c r="J659" s="123"/>
      <c r="K659" s="123"/>
    </row>
    <row r="660" spans="1:11" ht="12.75">
      <c r="A660" s="123"/>
      <c r="B660" s="123"/>
      <c r="C660" s="123"/>
      <c r="D660" s="123"/>
      <c r="E660" s="123"/>
      <c r="F660" s="123"/>
      <c r="G660" s="510"/>
      <c r="H660" s="510"/>
      <c r="I660" s="510"/>
      <c r="J660" s="123"/>
      <c r="K660" s="123"/>
    </row>
    <row r="661" spans="1:11" ht="12.75">
      <c r="A661" s="123"/>
      <c r="B661" s="123"/>
      <c r="C661" s="123"/>
      <c r="D661" s="123"/>
      <c r="E661" s="123"/>
      <c r="F661" s="123"/>
      <c r="G661" s="510"/>
      <c r="H661" s="510"/>
      <c r="I661" s="510"/>
      <c r="J661" s="123"/>
      <c r="K661" s="123"/>
    </row>
    <row r="662" spans="1:11" ht="12.75">
      <c r="A662" s="123"/>
      <c r="B662" s="123"/>
      <c r="C662" s="123"/>
      <c r="D662" s="123"/>
      <c r="E662" s="123"/>
      <c r="F662" s="123"/>
      <c r="G662" s="510"/>
      <c r="H662" s="510"/>
      <c r="I662" s="510"/>
      <c r="J662" s="123"/>
      <c r="K662" s="123"/>
    </row>
    <row r="663" spans="1:11" ht="12.75">
      <c r="A663" s="123"/>
      <c r="B663" s="123"/>
      <c r="C663" s="123"/>
      <c r="D663" s="123"/>
      <c r="E663" s="123"/>
      <c r="F663" s="123"/>
      <c r="G663" s="510"/>
      <c r="H663" s="510"/>
      <c r="I663" s="510"/>
      <c r="J663" s="123"/>
      <c r="K663" s="123"/>
    </row>
    <row r="664" spans="1:11" ht="12.75">
      <c r="A664" s="123"/>
      <c r="B664" s="123"/>
      <c r="C664" s="123"/>
      <c r="D664" s="123"/>
      <c r="E664" s="123"/>
      <c r="F664" s="123"/>
      <c r="G664" s="510"/>
      <c r="H664" s="510"/>
      <c r="I664" s="510"/>
      <c r="J664" s="123"/>
      <c r="K664" s="123"/>
    </row>
    <row r="665" spans="1:11" ht="12.75">
      <c r="A665" s="123"/>
      <c r="B665" s="123"/>
      <c r="C665" s="123"/>
      <c r="D665" s="123"/>
      <c r="E665" s="123"/>
      <c r="F665" s="123"/>
      <c r="G665" s="510"/>
      <c r="H665" s="510"/>
      <c r="I665" s="510"/>
      <c r="J665" s="123"/>
      <c r="K665" s="123"/>
    </row>
    <row r="666" spans="1:11" ht="12.75">
      <c r="A666" s="123"/>
      <c r="B666" s="123"/>
      <c r="C666" s="123"/>
      <c r="D666" s="123"/>
      <c r="E666" s="123"/>
      <c r="F666" s="123"/>
      <c r="G666" s="510"/>
      <c r="H666" s="510"/>
      <c r="I666" s="510"/>
      <c r="J666" s="123"/>
      <c r="K666" s="123"/>
    </row>
    <row r="667" spans="1:11" ht="12.75">
      <c r="A667" s="123"/>
      <c r="B667" s="123"/>
      <c r="C667" s="123"/>
      <c r="D667" s="123"/>
      <c r="E667" s="123"/>
      <c r="F667" s="123"/>
      <c r="G667" s="510"/>
      <c r="H667" s="510"/>
      <c r="I667" s="510"/>
      <c r="J667" s="123"/>
      <c r="K667" s="123"/>
    </row>
    <row r="668" spans="1:11" ht="12.75">
      <c r="A668" s="123"/>
      <c r="B668" s="123"/>
      <c r="C668" s="123"/>
      <c r="D668" s="123"/>
      <c r="E668" s="123"/>
      <c r="F668" s="123"/>
      <c r="G668" s="510"/>
      <c r="H668" s="510"/>
      <c r="I668" s="510"/>
      <c r="J668" s="123"/>
      <c r="K668" s="123"/>
    </row>
    <row r="669" spans="1:11" ht="12.75">
      <c r="A669" s="123"/>
      <c r="B669" s="123"/>
      <c r="C669" s="123"/>
      <c r="D669" s="123"/>
      <c r="E669" s="123"/>
      <c r="F669" s="123"/>
      <c r="G669" s="510"/>
      <c r="H669" s="510"/>
      <c r="I669" s="510"/>
      <c r="J669" s="123"/>
      <c r="K669" s="123"/>
    </row>
    <row r="670" spans="1:11" ht="12.75">
      <c r="A670" s="123"/>
      <c r="B670" s="123"/>
      <c r="C670" s="123"/>
      <c r="D670" s="123"/>
      <c r="E670" s="123"/>
      <c r="F670" s="123"/>
      <c r="G670" s="510"/>
      <c r="H670" s="510"/>
      <c r="I670" s="510"/>
      <c r="J670" s="123"/>
      <c r="K670" s="123"/>
    </row>
    <row r="671" spans="1:11" ht="12.75">
      <c r="A671" s="123"/>
      <c r="B671" s="123"/>
      <c r="C671" s="123"/>
      <c r="D671" s="123"/>
      <c r="E671" s="123"/>
      <c r="F671" s="123"/>
      <c r="G671" s="510"/>
      <c r="H671" s="510"/>
      <c r="I671" s="510"/>
      <c r="J671" s="123"/>
      <c r="K671" s="123"/>
    </row>
    <row r="672" spans="1:11" ht="12.75">
      <c r="A672" s="123"/>
      <c r="B672" s="123"/>
      <c r="C672" s="123"/>
      <c r="D672" s="123"/>
      <c r="E672" s="123"/>
      <c r="F672" s="123"/>
      <c r="G672" s="510"/>
      <c r="H672" s="510"/>
      <c r="I672" s="510"/>
      <c r="J672" s="123"/>
      <c r="K672" s="123"/>
    </row>
    <row r="673" spans="1:11" ht="12.75">
      <c r="A673" s="123"/>
      <c r="B673" s="123"/>
      <c r="C673" s="123"/>
      <c r="D673" s="123"/>
      <c r="E673" s="123"/>
      <c r="F673" s="123"/>
      <c r="G673" s="510"/>
      <c r="H673" s="510"/>
      <c r="I673" s="510"/>
      <c r="J673" s="123"/>
      <c r="K673" s="123"/>
    </row>
    <row r="674" spans="1:11" ht="12.75">
      <c r="A674" s="123"/>
      <c r="B674" s="123"/>
      <c r="C674" s="123"/>
      <c r="D674" s="123"/>
      <c r="E674" s="123"/>
      <c r="F674" s="123"/>
      <c r="G674" s="510"/>
      <c r="H674" s="510"/>
      <c r="I674" s="510"/>
      <c r="J674" s="123"/>
      <c r="K674" s="123"/>
    </row>
    <row r="675" spans="1:11" ht="12.75">
      <c r="A675" s="123"/>
      <c r="B675" s="123"/>
      <c r="C675" s="123"/>
      <c r="D675" s="123"/>
      <c r="E675" s="123"/>
      <c r="F675" s="123"/>
      <c r="G675" s="510"/>
      <c r="H675" s="510"/>
      <c r="I675" s="510"/>
      <c r="J675" s="123"/>
      <c r="K675" s="123"/>
    </row>
    <row r="676" spans="1:11" ht="12.75">
      <c r="A676" s="123"/>
      <c r="B676" s="123"/>
      <c r="C676" s="123"/>
      <c r="D676" s="123"/>
      <c r="E676" s="123"/>
      <c r="F676" s="123"/>
      <c r="G676" s="510"/>
      <c r="H676" s="510"/>
      <c r="I676" s="510"/>
      <c r="J676" s="123"/>
      <c r="K676" s="123"/>
    </row>
    <row r="677" spans="1:11" ht="12.75">
      <c r="A677" s="123"/>
      <c r="B677" s="123"/>
      <c r="C677" s="123"/>
      <c r="D677" s="123"/>
      <c r="E677" s="123"/>
      <c r="F677" s="123"/>
      <c r="G677" s="510"/>
      <c r="H677" s="510"/>
      <c r="I677" s="510"/>
      <c r="J677" s="123"/>
      <c r="K677" s="123"/>
    </row>
    <row r="678" spans="1:11" ht="12.75">
      <c r="A678" s="123"/>
      <c r="B678" s="123"/>
      <c r="C678" s="123"/>
      <c r="D678" s="123"/>
      <c r="E678" s="123"/>
      <c r="F678" s="123"/>
      <c r="G678" s="510"/>
      <c r="H678" s="510"/>
      <c r="I678" s="510"/>
      <c r="J678" s="123"/>
      <c r="K678" s="123"/>
    </row>
    <row r="679" spans="1:11" ht="12.75">
      <c r="A679" s="123"/>
      <c r="B679" s="123"/>
      <c r="C679" s="123"/>
      <c r="D679" s="123"/>
      <c r="E679" s="123"/>
      <c r="F679" s="123"/>
      <c r="G679" s="510"/>
      <c r="H679" s="510"/>
      <c r="I679" s="510"/>
      <c r="J679" s="123"/>
      <c r="K679" s="123"/>
    </row>
    <row r="680" spans="1:11" ht="12.75">
      <c r="A680" s="123"/>
      <c r="B680" s="123"/>
      <c r="C680" s="123"/>
      <c r="D680" s="123"/>
      <c r="E680" s="123"/>
      <c r="F680" s="123"/>
      <c r="G680" s="510"/>
      <c r="H680" s="510"/>
      <c r="I680" s="510"/>
      <c r="J680" s="123"/>
      <c r="K680" s="123"/>
    </row>
    <row r="681" spans="1:11" ht="12.75">
      <c r="A681" s="123"/>
      <c r="B681" s="123"/>
      <c r="C681" s="123"/>
      <c r="D681" s="123"/>
      <c r="E681" s="123"/>
      <c r="F681" s="123"/>
      <c r="G681" s="510"/>
      <c r="H681" s="510"/>
      <c r="I681" s="510"/>
      <c r="J681" s="123"/>
      <c r="K681" s="123"/>
    </row>
    <row r="682" spans="1:11" ht="12.75">
      <c r="A682" s="123"/>
      <c r="B682" s="123"/>
      <c r="C682" s="123"/>
      <c r="D682" s="123"/>
      <c r="E682" s="123"/>
      <c r="F682" s="123"/>
      <c r="G682" s="510"/>
      <c r="H682" s="510"/>
      <c r="I682" s="510"/>
      <c r="J682" s="123"/>
      <c r="K682" s="123"/>
    </row>
    <row r="683" spans="1:11" ht="12.75">
      <c r="A683" s="123"/>
      <c r="B683" s="123"/>
      <c r="C683" s="123"/>
      <c r="D683" s="123"/>
      <c r="E683" s="123"/>
      <c r="F683" s="123"/>
      <c r="G683" s="510"/>
      <c r="H683" s="510"/>
      <c r="I683" s="510"/>
      <c r="J683" s="123"/>
      <c r="K683" s="123"/>
    </row>
    <row r="684" spans="1:11" ht="12.75">
      <c r="A684" s="123"/>
      <c r="B684" s="123"/>
      <c r="C684" s="123"/>
      <c r="D684" s="123"/>
      <c r="E684" s="123"/>
      <c r="F684" s="123"/>
      <c r="G684" s="510"/>
      <c r="H684" s="510"/>
      <c r="I684" s="510"/>
      <c r="J684" s="123"/>
      <c r="K684" s="123"/>
    </row>
    <row r="685" spans="1:11" ht="12.75">
      <c r="A685" s="123"/>
      <c r="B685" s="123"/>
      <c r="C685" s="123"/>
      <c r="D685" s="123"/>
      <c r="E685" s="123"/>
      <c r="F685" s="123"/>
      <c r="G685" s="510"/>
      <c r="H685" s="510"/>
      <c r="I685" s="510"/>
      <c r="J685" s="123"/>
      <c r="K685" s="123"/>
    </row>
    <row r="686" spans="1:11" ht="12.75">
      <c r="A686" s="123"/>
      <c r="B686" s="123"/>
      <c r="C686" s="123"/>
      <c r="D686" s="123"/>
      <c r="E686" s="123"/>
      <c r="F686" s="123"/>
      <c r="G686" s="510"/>
      <c r="H686" s="510"/>
      <c r="I686" s="510"/>
      <c r="J686" s="123"/>
      <c r="K686" s="123"/>
    </row>
    <row r="687" spans="1:11" ht="12.75">
      <c r="A687" s="123"/>
      <c r="B687" s="123"/>
      <c r="C687" s="123"/>
      <c r="D687" s="123"/>
      <c r="E687" s="123"/>
      <c r="F687" s="123"/>
      <c r="G687" s="510"/>
      <c r="H687" s="510"/>
      <c r="I687" s="510"/>
      <c r="J687" s="123"/>
      <c r="K687" s="123"/>
    </row>
    <row r="688" spans="1:11" ht="12.75">
      <c r="A688" s="123"/>
      <c r="B688" s="123"/>
      <c r="C688" s="123"/>
      <c r="D688" s="123"/>
      <c r="E688" s="123"/>
      <c r="F688" s="123"/>
      <c r="G688" s="510"/>
      <c r="H688" s="510"/>
      <c r="I688" s="510"/>
      <c r="J688" s="123"/>
      <c r="K688" s="123"/>
    </row>
    <row r="689" spans="1:11" ht="12.75">
      <c r="A689" s="123"/>
      <c r="B689" s="123"/>
      <c r="C689" s="123"/>
      <c r="D689" s="123"/>
      <c r="E689" s="123"/>
      <c r="F689" s="123"/>
      <c r="G689" s="510"/>
      <c r="H689" s="510"/>
      <c r="I689" s="510"/>
      <c r="J689" s="123"/>
      <c r="K689" s="123"/>
    </row>
    <row r="690" spans="1:11" ht="12.75">
      <c r="A690" s="123"/>
      <c r="B690" s="123"/>
      <c r="C690" s="123"/>
      <c r="D690" s="123"/>
      <c r="E690" s="123"/>
      <c r="F690" s="123"/>
      <c r="G690" s="510"/>
      <c r="H690" s="510"/>
      <c r="I690" s="510"/>
      <c r="J690" s="123"/>
      <c r="K690" s="123"/>
    </row>
    <row r="691" spans="1:11" ht="12.75">
      <c r="A691" s="123"/>
      <c r="B691" s="123"/>
      <c r="C691" s="123"/>
      <c r="D691" s="123"/>
      <c r="E691" s="123"/>
      <c r="F691" s="123"/>
      <c r="G691" s="510"/>
      <c r="H691" s="510"/>
      <c r="I691" s="510"/>
      <c r="J691" s="123"/>
      <c r="K691" s="123"/>
    </row>
    <row r="692" spans="1:11" ht="12.75">
      <c r="A692" s="123"/>
      <c r="B692" s="123"/>
      <c r="C692" s="123"/>
      <c r="D692" s="123"/>
      <c r="E692" s="123"/>
      <c r="F692" s="123"/>
      <c r="G692" s="510"/>
      <c r="H692" s="510"/>
      <c r="I692" s="510"/>
      <c r="J692" s="123"/>
      <c r="K692" s="123"/>
    </row>
    <row r="693" spans="1:11" ht="12.75">
      <c r="A693" s="123"/>
      <c r="B693" s="123"/>
      <c r="C693" s="123"/>
      <c r="D693" s="123"/>
      <c r="E693" s="123"/>
      <c r="F693" s="123"/>
      <c r="G693" s="510"/>
      <c r="H693" s="510"/>
      <c r="I693" s="510"/>
      <c r="J693" s="123"/>
      <c r="K693" s="123"/>
    </row>
    <row r="694" spans="1:11" ht="12.75">
      <c r="A694" s="123"/>
      <c r="B694" s="123"/>
      <c r="C694" s="123"/>
      <c r="D694" s="123"/>
      <c r="E694" s="123"/>
      <c r="F694" s="123"/>
      <c r="G694" s="510"/>
      <c r="H694" s="510"/>
      <c r="I694" s="510"/>
      <c r="J694" s="123"/>
      <c r="K694" s="123"/>
    </row>
    <row r="695" spans="1:11" ht="12.75">
      <c r="A695" s="123"/>
      <c r="B695" s="123"/>
      <c r="C695" s="123"/>
      <c r="D695" s="123"/>
      <c r="E695" s="123"/>
      <c r="F695" s="123"/>
      <c r="G695" s="510"/>
      <c r="H695" s="510"/>
      <c r="I695" s="510"/>
      <c r="J695" s="123"/>
      <c r="K695" s="123"/>
    </row>
    <row r="696" spans="1:11" ht="12.75">
      <c r="A696" s="123"/>
      <c r="B696" s="123"/>
      <c r="C696" s="123"/>
      <c r="D696" s="123"/>
      <c r="E696" s="123"/>
      <c r="F696" s="123"/>
      <c r="G696" s="510"/>
      <c r="H696" s="510"/>
      <c r="I696" s="510"/>
      <c r="J696" s="123"/>
      <c r="K696" s="123"/>
    </row>
    <row r="697" spans="1:11" ht="12.75">
      <c r="A697" s="123"/>
      <c r="B697" s="123"/>
      <c r="C697" s="123"/>
      <c r="D697" s="123"/>
      <c r="E697" s="123"/>
      <c r="F697" s="123"/>
      <c r="G697" s="510"/>
      <c r="H697" s="510"/>
      <c r="I697" s="510"/>
      <c r="J697" s="123"/>
      <c r="K697" s="123"/>
    </row>
    <row r="698" spans="1:11" ht="12.75">
      <c r="A698" s="123"/>
      <c r="B698" s="123"/>
      <c r="C698" s="123"/>
      <c r="D698" s="123"/>
      <c r="E698" s="123"/>
      <c r="F698" s="123"/>
      <c r="G698" s="510"/>
      <c r="H698" s="510"/>
      <c r="I698" s="510"/>
      <c r="J698" s="123"/>
      <c r="K698" s="123"/>
    </row>
    <row r="699" spans="1:11" ht="12.75">
      <c r="A699" s="123"/>
      <c r="B699" s="123"/>
      <c r="C699" s="123"/>
      <c r="D699" s="123"/>
      <c r="E699" s="123"/>
      <c r="F699" s="123"/>
      <c r="G699" s="510"/>
      <c r="H699" s="510"/>
      <c r="I699" s="510"/>
      <c r="J699" s="123"/>
      <c r="K699" s="123"/>
    </row>
    <row r="700" spans="1:11" ht="12.75">
      <c r="A700" s="123"/>
      <c r="B700" s="123"/>
      <c r="C700" s="123"/>
      <c r="D700" s="123"/>
      <c r="E700" s="123"/>
      <c r="F700" s="123"/>
      <c r="G700" s="510"/>
      <c r="H700" s="510"/>
      <c r="I700" s="510"/>
      <c r="J700" s="123"/>
      <c r="K700" s="123"/>
    </row>
    <row r="701" spans="1:11" ht="12.75">
      <c r="A701" s="123"/>
      <c r="B701" s="123"/>
      <c r="C701" s="123"/>
      <c r="D701" s="123"/>
      <c r="E701" s="123"/>
      <c r="F701" s="123"/>
      <c r="G701" s="510"/>
      <c r="H701" s="510"/>
      <c r="I701" s="510"/>
      <c r="J701" s="123"/>
      <c r="K701" s="123"/>
    </row>
    <row r="702" spans="1:11" ht="12.75">
      <c r="A702" s="123"/>
      <c r="B702" s="123"/>
      <c r="C702" s="123"/>
      <c r="D702" s="123"/>
      <c r="E702" s="123"/>
      <c r="F702" s="123"/>
      <c r="G702" s="510"/>
      <c r="H702" s="510"/>
      <c r="I702" s="510"/>
      <c r="J702" s="123"/>
      <c r="K702" s="123"/>
    </row>
    <row r="703" spans="1:11" ht="12.75">
      <c r="A703" s="123"/>
      <c r="B703" s="123"/>
      <c r="C703" s="123"/>
      <c r="D703" s="123"/>
      <c r="E703" s="123"/>
      <c r="F703" s="123"/>
      <c r="G703" s="510"/>
      <c r="H703" s="510"/>
      <c r="I703" s="510"/>
      <c r="J703" s="123"/>
      <c r="K703" s="123"/>
    </row>
    <row r="704" spans="1:11" ht="12.75">
      <c r="A704" s="123"/>
      <c r="B704" s="123"/>
      <c r="C704" s="123"/>
      <c r="D704" s="123"/>
      <c r="E704" s="123"/>
      <c r="F704" s="123"/>
      <c r="G704" s="510"/>
      <c r="H704" s="510"/>
      <c r="I704" s="510"/>
      <c r="J704" s="123"/>
      <c r="K704" s="123"/>
    </row>
    <row r="705" spans="1:11" ht="12.75">
      <c r="A705" s="123"/>
      <c r="B705" s="123"/>
      <c r="C705" s="123"/>
      <c r="D705" s="123"/>
      <c r="E705" s="123"/>
      <c r="F705" s="123"/>
      <c r="G705" s="510"/>
      <c r="H705" s="510"/>
      <c r="I705" s="510"/>
      <c r="J705" s="123"/>
      <c r="K705" s="123"/>
    </row>
    <row r="706" spans="1:11" ht="12.75">
      <c r="A706" s="123"/>
      <c r="B706" s="123"/>
      <c r="C706" s="123"/>
      <c r="D706" s="123"/>
      <c r="E706" s="123"/>
      <c r="F706" s="123"/>
      <c r="G706" s="510"/>
      <c r="H706" s="510"/>
      <c r="I706" s="510"/>
      <c r="J706" s="123"/>
      <c r="K706" s="123"/>
    </row>
    <row r="707" spans="1:11" ht="12.75">
      <c r="A707" s="123"/>
      <c r="B707" s="123"/>
      <c r="C707" s="123"/>
      <c r="D707" s="123"/>
      <c r="E707" s="123"/>
      <c r="F707" s="123"/>
      <c r="G707" s="510"/>
      <c r="H707" s="510"/>
      <c r="I707" s="510"/>
      <c r="J707" s="123"/>
      <c r="K707" s="123"/>
    </row>
    <row r="708" spans="1:11" ht="12.75">
      <c r="A708" s="123"/>
      <c r="B708" s="123"/>
      <c r="C708" s="123"/>
      <c r="D708" s="123"/>
      <c r="E708" s="123"/>
      <c r="F708" s="123"/>
      <c r="G708" s="510"/>
      <c r="H708" s="510"/>
      <c r="I708" s="510"/>
      <c r="J708" s="123"/>
      <c r="K708" s="123"/>
    </row>
    <row r="709" spans="1:11" ht="12.75">
      <c r="A709" s="123"/>
      <c r="B709" s="123"/>
      <c r="C709" s="123"/>
      <c r="D709" s="123"/>
      <c r="E709" s="123"/>
      <c r="F709" s="123"/>
      <c r="G709" s="510"/>
      <c r="H709" s="510"/>
      <c r="I709" s="510"/>
      <c r="J709" s="123"/>
      <c r="K709" s="123"/>
    </row>
    <row r="710" spans="1:11" ht="12.75">
      <c r="A710" s="123"/>
      <c r="B710" s="123"/>
      <c r="C710" s="123"/>
      <c r="D710" s="123"/>
      <c r="E710" s="123"/>
      <c r="F710" s="123"/>
      <c r="G710" s="510"/>
      <c r="H710" s="510"/>
      <c r="I710" s="510"/>
      <c r="J710" s="123"/>
      <c r="K710" s="123"/>
    </row>
    <row r="711" spans="1:11" ht="12.75">
      <c r="A711" s="123"/>
      <c r="B711" s="123"/>
      <c r="C711" s="123"/>
      <c r="D711" s="123"/>
      <c r="E711" s="123"/>
      <c r="F711" s="123"/>
      <c r="G711" s="510"/>
      <c r="H711" s="510"/>
      <c r="I711" s="510"/>
      <c r="J711" s="123"/>
      <c r="K711" s="123"/>
    </row>
    <row r="712" spans="1:11" ht="12.75">
      <c r="A712" s="123"/>
      <c r="B712" s="123"/>
      <c r="C712" s="123"/>
      <c r="D712" s="123"/>
      <c r="E712" s="123"/>
      <c r="F712" s="123"/>
      <c r="G712" s="510"/>
      <c r="H712" s="510"/>
      <c r="I712" s="510"/>
      <c r="J712" s="123"/>
      <c r="K712" s="123"/>
    </row>
    <row r="713" spans="1:11" ht="12.75">
      <c r="A713" s="123"/>
      <c r="B713" s="123"/>
      <c r="C713" s="123"/>
      <c r="D713" s="123"/>
      <c r="E713" s="123"/>
      <c r="F713" s="123"/>
      <c r="G713" s="510"/>
      <c r="H713" s="510"/>
      <c r="I713" s="510"/>
      <c r="J713" s="123"/>
      <c r="K713" s="123"/>
    </row>
    <row r="714" spans="1:11" ht="12.75">
      <c r="A714" s="123"/>
      <c r="B714" s="123"/>
      <c r="C714" s="123"/>
      <c r="D714" s="123"/>
      <c r="E714" s="123"/>
      <c r="F714" s="123"/>
      <c r="G714" s="510"/>
      <c r="H714" s="510"/>
      <c r="I714" s="510"/>
      <c r="J714" s="123"/>
      <c r="K714" s="123"/>
    </row>
    <row r="715" spans="1:11" ht="12.75">
      <c r="A715" s="123"/>
      <c r="B715" s="123"/>
      <c r="C715" s="123"/>
      <c r="D715" s="123"/>
      <c r="E715" s="123"/>
      <c r="F715" s="123"/>
      <c r="G715" s="510"/>
      <c r="H715" s="510"/>
      <c r="I715" s="510"/>
      <c r="J715" s="123"/>
      <c r="K715" s="123"/>
    </row>
    <row r="716" spans="1:11" ht="12.75">
      <c r="A716" s="123"/>
      <c r="B716" s="123"/>
      <c r="C716" s="123"/>
      <c r="D716" s="123"/>
      <c r="E716" s="123"/>
      <c r="F716" s="123"/>
      <c r="G716" s="510"/>
      <c r="H716" s="510"/>
      <c r="I716" s="510"/>
      <c r="J716" s="123"/>
      <c r="K716" s="123"/>
    </row>
    <row r="717" spans="1:11" ht="12.75">
      <c r="A717" s="123"/>
      <c r="B717" s="123"/>
      <c r="C717" s="123"/>
      <c r="D717" s="123"/>
      <c r="E717" s="123"/>
      <c r="F717" s="123"/>
      <c r="G717" s="510"/>
      <c r="H717" s="510"/>
      <c r="I717" s="510"/>
      <c r="J717" s="123"/>
      <c r="K717" s="123"/>
    </row>
    <row r="718" spans="1:11" ht="12.75">
      <c r="A718" s="123"/>
      <c r="B718" s="123"/>
      <c r="C718" s="123"/>
      <c r="D718" s="123"/>
      <c r="E718" s="123"/>
      <c r="F718" s="123"/>
      <c r="G718" s="510"/>
      <c r="H718" s="510"/>
      <c r="I718" s="510"/>
      <c r="J718" s="123"/>
      <c r="K718" s="123"/>
    </row>
    <row r="719" spans="1:11" ht="12.75">
      <c r="A719" s="123"/>
      <c r="B719" s="123"/>
      <c r="C719" s="123"/>
      <c r="D719" s="123"/>
      <c r="E719" s="123"/>
      <c r="F719" s="123"/>
      <c r="G719" s="510"/>
      <c r="H719" s="510"/>
      <c r="I719" s="510"/>
      <c r="J719" s="123"/>
      <c r="K719" s="123"/>
    </row>
    <row r="720" spans="1:11" ht="12.75">
      <c r="A720" s="123"/>
      <c r="B720" s="123"/>
      <c r="C720" s="123"/>
      <c r="D720" s="123"/>
      <c r="E720" s="123"/>
      <c r="F720" s="123"/>
      <c r="G720" s="510"/>
      <c r="H720" s="510"/>
      <c r="I720" s="510"/>
      <c r="J720" s="123"/>
      <c r="K720" s="123"/>
    </row>
    <row r="721" spans="1:11" ht="12.75">
      <c r="A721" s="123"/>
      <c r="B721" s="123"/>
      <c r="C721" s="123"/>
      <c r="D721" s="123"/>
      <c r="E721" s="123"/>
      <c r="F721" s="123"/>
      <c r="G721" s="510"/>
      <c r="H721" s="510"/>
      <c r="I721" s="510"/>
      <c r="J721" s="123"/>
      <c r="K721" s="123"/>
    </row>
    <row r="722" spans="1:11" ht="12.75">
      <c r="A722" s="123"/>
      <c r="B722" s="123"/>
      <c r="C722" s="123"/>
      <c r="D722" s="123"/>
      <c r="E722" s="123"/>
      <c r="F722" s="123"/>
      <c r="G722" s="510"/>
      <c r="H722" s="510"/>
      <c r="I722" s="510"/>
      <c r="J722" s="123"/>
      <c r="K722" s="123"/>
    </row>
    <row r="723" spans="1:11" ht="12.75">
      <c r="A723" s="123"/>
      <c r="B723" s="123"/>
      <c r="C723" s="123"/>
      <c r="D723" s="123"/>
      <c r="E723" s="123"/>
      <c r="F723" s="123"/>
      <c r="G723" s="510"/>
      <c r="H723" s="510"/>
      <c r="I723" s="510"/>
      <c r="J723" s="123"/>
      <c r="K723" s="123"/>
    </row>
    <row r="724" spans="1:11" ht="12.75">
      <c r="A724" s="123"/>
      <c r="B724" s="123"/>
      <c r="C724" s="123"/>
      <c r="D724" s="123"/>
      <c r="E724" s="123"/>
      <c r="F724" s="123"/>
      <c r="G724" s="510"/>
      <c r="H724" s="510"/>
      <c r="I724" s="510"/>
      <c r="J724" s="123"/>
      <c r="K724" s="123"/>
    </row>
    <row r="725" spans="1:11" ht="12.75">
      <c r="A725" s="123"/>
      <c r="B725" s="123"/>
      <c r="C725" s="123"/>
      <c r="D725" s="123"/>
      <c r="E725" s="123"/>
      <c r="F725" s="123"/>
      <c r="G725" s="510"/>
      <c r="H725" s="510"/>
      <c r="I725" s="510"/>
      <c r="J725" s="123"/>
      <c r="K725" s="123"/>
    </row>
    <row r="726" spans="1:11" ht="12.75">
      <c r="A726" s="123"/>
      <c r="B726" s="123"/>
      <c r="C726" s="123"/>
      <c r="D726" s="123"/>
      <c r="E726" s="123"/>
      <c r="F726" s="123"/>
      <c r="G726" s="510"/>
      <c r="H726" s="510"/>
      <c r="I726" s="510"/>
      <c r="J726" s="123"/>
      <c r="K726" s="123"/>
    </row>
    <row r="727" spans="1:11" ht="12.75">
      <c r="A727" s="123"/>
      <c r="B727" s="123"/>
      <c r="C727" s="123"/>
      <c r="D727" s="123"/>
      <c r="E727" s="123"/>
      <c r="F727" s="123"/>
      <c r="G727" s="510"/>
      <c r="H727" s="510"/>
      <c r="I727" s="510"/>
      <c r="J727" s="123"/>
      <c r="K727" s="123"/>
    </row>
    <row r="728" spans="1:11" ht="12.75">
      <c r="A728" s="123"/>
      <c r="B728" s="123"/>
      <c r="C728" s="123"/>
      <c r="D728" s="123"/>
      <c r="E728" s="123"/>
      <c r="F728" s="123"/>
      <c r="G728" s="510"/>
      <c r="H728" s="510"/>
      <c r="I728" s="510"/>
      <c r="J728" s="123"/>
      <c r="K728" s="123"/>
    </row>
    <row r="729" spans="1:11" ht="12.75">
      <c r="A729" s="123"/>
      <c r="B729" s="123"/>
      <c r="C729" s="123"/>
      <c r="D729" s="123"/>
      <c r="E729" s="123"/>
      <c r="F729" s="123"/>
      <c r="G729" s="510"/>
      <c r="H729" s="510"/>
      <c r="I729" s="510"/>
      <c r="J729" s="123"/>
      <c r="K729" s="123"/>
    </row>
    <row r="730" spans="1:11" ht="12.75">
      <c r="A730" s="123"/>
      <c r="B730" s="123"/>
      <c r="C730" s="123"/>
      <c r="D730" s="123"/>
      <c r="E730" s="123"/>
      <c r="F730" s="123"/>
      <c r="G730" s="510"/>
      <c r="H730" s="510"/>
      <c r="I730" s="510"/>
      <c r="J730" s="123"/>
      <c r="K730" s="123"/>
    </row>
    <row r="731" spans="1:11" ht="12.75">
      <c r="A731" s="123"/>
      <c r="B731" s="123"/>
      <c r="C731" s="123"/>
      <c r="D731" s="123"/>
      <c r="E731" s="123"/>
      <c r="F731" s="123"/>
      <c r="G731" s="510"/>
      <c r="H731" s="510"/>
      <c r="I731" s="510"/>
      <c r="J731" s="123"/>
      <c r="K731" s="123"/>
    </row>
    <row r="732" spans="1:11" ht="12.75">
      <c r="A732" s="123"/>
      <c r="B732" s="123"/>
      <c r="C732" s="123"/>
      <c r="D732" s="123"/>
      <c r="E732" s="123"/>
      <c r="F732" s="123"/>
      <c r="G732" s="510"/>
      <c r="H732" s="510"/>
      <c r="I732" s="510"/>
      <c r="J732" s="123"/>
      <c r="K732" s="123"/>
    </row>
    <row r="733" spans="1:11" ht="12.75">
      <c r="A733" s="123"/>
      <c r="B733" s="123"/>
      <c r="C733" s="123"/>
      <c r="D733" s="123"/>
      <c r="E733" s="123"/>
      <c r="F733" s="123"/>
      <c r="G733" s="510"/>
      <c r="H733" s="510"/>
      <c r="I733" s="510"/>
      <c r="J733" s="123"/>
      <c r="K733" s="123"/>
    </row>
    <row r="734" spans="1:11" ht="12.75">
      <c r="A734" s="123"/>
      <c r="B734" s="123"/>
      <c r="C734" s="123"/>
      <c r="D734" s="123"/>
      <c r="E734" s="123"/>
      <c r="F734" s="123"/>
      <c r="G734" s="510"/>
      <c r="H734" s="510"/>
      <c r="I734" s="510"/>
      <c r="J734" s="123"/>
      <c r="K734" s="123"/>
    </row>
    <row r="735" spans="1:11" ht="12.75">
      <c r="A735" s="123"/>
      <c r="B735" s="123"/>
      <c r="C735" s="123"/>
      <c r="D735" s="123"/>
      <c r="E735" s="123"/>
      <c r="F735" s="123"/>
      <c r="G735" s="510"/>
      <c r="H735" s="510"/>
      <c r="I735" s="510"/>
      <c r="J735" s="123"/>
      <c r="K735" s="123"/>
    </row>
    <row r="736" spans="1:11" ht="12.75">
      <c r="A736" s="123"/>
      <c r="B736" s="123"/>
      <c r="C736" s="123"/>
      <c r="D736" s="123"/>
      <c r="E736" s="123"/>
      <c r="F736" s="123"/>
      <c r="G736" s="510"/>
      <c r="H736" s="510"/>
      <c r="I736" s="510"/>
      <c r="J736" s="123"/>
      <c r="K736" s="123"/>
    </row>
    <row r="737" spans="1:11" ht="12.75">
      <c r="A737" s="123"/>
      <c r="B737" s="123"/>
      <c r="C737" s="123"/>
      <c r="D737" s="123"/>
      <c r="E737" s="123"/>
      <c r="F737" s="123"/>
      <c r="G737" s="510"/>
      <c r="H737" s="510"/>
      <c r="I737" s="510"/>
      <c r="J737" s="123"/>
      <c r="K737" s="123"/>
    </row>
    <row r="738" spans="1:11" ht="12.75">
      <c r="A738" s="123"/>
      <c r="B738" s="123"/>
      <c r="C738" s="123"/>
      <c r="D738" s="123"/>
      <c r="E738" s="123"/>
      <c r="F738" s="123"/>
      <c r="G738" s="510"/>
      <c r="H738" s="510"/>
      <c r="I738" s="510"/>
      <c r="J738" s="123"/>
      <c r="K738" s="123"/>
    </row>
    <row r="739" spans="1:11" ht="12.75">
      <c r="A739" s="123"/>
      <c r="B739" s="123"/>
      <c r="C739" s="123"/>
      <c r="D739" s="123"/>
      <c r="E739" s="123"/>
      <c r="F739" s="123"/>
      <c r="G739" s="510"/>
      <c r="H739" s="510"/>
      <c r="I739" s="510"/>
      <c r="J739" s="123"/>
      <c r="K739" s="123"/>
    </row>
    <row r="740" spans="1:11" ht="12.75">
      <c r="A740" s="123"/>
      <c r="B740" s="123"/>
      <c r="C740" s="123"/>
      <c r="D740" s="123"/>
      <c r="E740" s="123"/>
      <c r="F740" s="123"/>
      <c r="G740" s="510"/>
      <c r="H740" s="510"/>
      <c r="I740" s="510"/>
      <c r="J740" s="123"/>
      <c r="K740" s="123"/>
    </row>
    <row r="741" spans="1:11" ht="12.75">
      <c r="A741" s="123"/>
      <c r="B741" s="123"/>
      <c r="C741" s="123"/>
      <c r="D741" s="123"/>
      <c r="E741" s="123"/>
      <c r="F741" s="123"/>
      <c r="G741" s="510"/>
      <c r="H741" s="510"/>
      <c r="I741" s="510"/>
      <c r="J741" s="123"/>
      <c r="K741" s="123"/>
    </row>
    <row r="742" spans="1:11" ht="12.75">
      <c r="A742" s="123"/>
      <c r="B742" s="123"/>
      <c r="C742" s="123"/>
      <c r="D742" s="123"/>
      <c r="E742" s="123"/>
      <c r="F742" s="123"/>
      <c r="G742" s="510"/>
      <c r="H742" s="510"/>
      <c r="I742" s="510"/>
      <c r="J742" s="123"/>
      <c r="K742" s="123"/>
    </row>
    <row r="743" spans="1:11" ht="12.75">
      <c r="A743" s="123"/>
      <c r="B743" s="123"/>
      <c r="C743" s="123"/>
      <c r="D743" s="123"/>
      <c r="E743" s="123"/>
      <c r="F743" s="123"/>
      <c r="G743" s="510"/>
      <c r="H743" s="510"/>
      <c r="I743" s="510"/>
      <c r="J743" s="123"/>
      <c r="K743" s="123"/>
    </row>
    <row r="744" spans="1:11" ht="12.75">
      <c r="A744" s="123"/>
      <c r="B744" s="123"/>
      <c r="C744" s="123"/>
      <c r="D744" s="123"/>
      <c r="E744" s="123"/>
      <c r="F744" s="123"/>
      <c r="G744" s="510"/>
      <c r="H744" s="510"/>
      <c r="I744" s="510"/>
      <c r="J744" s="123"/>
      <c r="K744" s="123"/>
    </row>
    <row r="745" spans="1:11" ht="12.75">
      <c r="A745" s="123"/>
      <c r="B745" s="123"/>
      <c r="C745" s="123"/>
      <c r="D745" s="123"/>
      <c r="E745" s="123"/>
      <c r="F745" s="123"/>
      <c r="G745" s="510"/>
      <c r="H745" s="510"/>
      <c r="I745" s="510"/>
      <c r="J745" s="123"/>
      <c r="K745" s="123"/>
    </row>
    <row r="746" spans="1:11" ht="12.75">
      <c r="A746" s="123"/>
      <c r="B746" s="123"/>
      <c r="C746" s="123"/>
      <c r="D746" s="123"/>
      <c r="E746" s="123"/>
      <c r="F746" s="123"/>
      <c r="G746" s="510"/>
      <c r="H746" s="510"/>
      <c r="I746" s="510"/>
      <c r="J746" s="123"/>
      <c r="K746" s="123"/>
    </row>
    <row r="747" spans="1:11" ht="12.75">
      <c r="A747" s="123"/>
      <c r="B747" s="123"/>
      <c r="C747" s="123"/>
      <c r="D747" s="123"/>
      <c r="E747" s="123"/>
      <c r="F747" s="123"/>
      <c r="G747" s="510"/>
      <c r="H747" s="510"/>
      <c r="I747" s="510"/>
      <c r="J747" s="123"/>
      <c r="K747" s="123"/>
    </row>
    <row r="748" spans="1:11" ht="12.75">
      <c r="A748" s="123"/>
      <c r="B748" s="123"/>
      <c r="C748" s="123"/>
      <c r="D748" s="123"/>
      <c r="E748" s="123"/>
      <c r="F748" s="123"/>
      <c r="G748" s="510"/>
      <c r="H748" s="510"/>
      <c r="I748" s="510"/>
      <c r="J748" s="123"/>
      <c r="K748" s="123"/>
    </row>
    <row r="749" spans="1:11" ht="12.75">
      <c r="A749" s="123"/>
      <c r="B749" s="123"/>
      <c r="C749" s="123"/>
      <c r="D749" s="123"/>
      <c r="E749" s="123"/>
      <c r="F749" s="123"/>
      <c r="G749" s="510"/>
      <c r="H749" s="510"/>
      <c r="I749" s="510"/>
      <c r="J749" s="123"/>
      <c r="K749" s="123"/>
    </row>
    <row r="750" spans="1:11" ht="12.75">
      <c r="A750" s="123"/>
      <c r="B750" s="123"/>
      <c r="C750" s="123"/>
      <c r="D750" s="123"/>
      <c r="E750" s="123"/>
      <c r="F750" s="123"/>
      <c r="G750" s="510"/>
      <c r="H750" s="510"/>
      <c r="I750" s="510"/>
      <c r="J750" s="123"/>
      <c r="K750" s="123"/>
    </row>
    <row r="751" spans="1:11" ht="12.75">
      <c r="A751" s="123"/>
      <c r="B751" s="123"/>
      <c r="C751" s="123"/>
      <c r="D751" s="123"/>
      <c r="E751" s="123"/>
      <c r="F751" s="123"/>
      <c r="G751" s="510"/>
      <c r="H751" s="510"/>
      <c r="I751" s="510"/>
      <c r="J751" s="123"/>
      <c r="K751" s="123"/>
    </row>
    <row r="752" spans="1:11" ht="12.75">
      <c r="A752" s="123"/>
      <c r="B752" s="123"/>
      <c r="C752" s="123"/>
      <c r="D752" s="123"/>
      <c r="E752" s="123"/>
      <c r="F752" s="123"/>
      <c r="G752" s="510"/>
      <c r="H752" s="510"/>
      <c r="I752" s="510"/>
      <c r="J752" s="123"/>
      <c r="K752" s="123"/>
    </row>
    <row r="753" spans="1:11" ht="12.75">
      <c r="A753" s="123"/>
      <c r="B753" s="123"/>
      <c r="C753" s="123"/>
      <c r="D753" s="123"/>
      <c r="E753" s="123"/>
      <c r="F753" s="123"/>
      <c r="G753" s="510"/>
      <c r="H753" s="510"/>
      <c r="I753" s="510"/>
      <c r="J753" s="123"/>
      <c r="K753" s="123"/>
    </row>
    <row r="754" spans="1:11" ht="12.75">
      <c r="A754" s="123"/>
      <c r="B754" s="123"/>
      <c r="C754" s="123"/>
      <c r="D754" s="123"/>
      <c r="E754" s="123"/>
      <c r="F754" s="123"/>
      <c r="G754" s="510"/>
      <c r="H754" s="510"/>
      <c r="I754" s="510"/>
      <c r="J754" s="123"/>
      <c r="K754" s="123"/>
    </row>
    <row r="755" spans="1:11" ht="12.75">
      <c r="A755" s="123"/>
      <c r="B755" s="123"/>
      <c r="C755" s="123"/>
      <c r="D755" s="123"/>
      <c r="E755" s="123"/>
      <c r="F755" s="123"/>
      <c r="G755" s="510"/>
      <c r="H755" s="510"/>
      <c r="I755" s="510"/>
      <c r="J755" s="123"/>
      <c r="K755" s="123"/>
    </row>
    <row r="756" spans="1:11" ht="12.75">
      <c r="A756" s="123"/>
      <c r="B756" s="123"/>
      <c r="C756" s="123"/>
      <c r="D756" s="123"/>
      <c r="E756" s="123"/>
      <c r="F756" s="123"/>
      <c r="G756" s="510"/>
      <c r="H756" s="510"/>
      <c r="I756" s="510"/>
      <c r="J756" s="123"/>
      <c r="K756" s="123"/>
    </row>
    <row r="757" spans="1:11" ht="12.75">
      <c r="A757" s="123"/>
      <c r="B757" s="123"/>
      <c r="C757" s="123"/>
      <c r="D757" s="123"/>
      <c r="E757" s="123"/>
      <c r="F757" s="123"/>
      <c r="G757" s="510"/>
      <c r="H757" s="510"/>
      <c r="I757" s="510"/>
      <c r="J757" s="123"/>
      <c r="K757" s="123"/>
    </row>
    <row r="758" spans="1:11" ht="12.75">
      <c r="A758" s="123"/>
      <c r="B758" s="123"/>
      <c r="C758" s="123"/>
      <c r="D758" s="123"/>
      <c r="E758" s="123"/>
      <c r="F758" s="123"/>
      <c r="G758" s="510"/>
      <c r="H758" s="510"/>
      <c r="I758" s="510"/>
      <c r="J758" s="123"/>
      <c r="K758" s="123"/>
    </row>
    <row r="759" spans="1:11" ht="12.75">
      <c r="A759" s="123"/>
      <c r="B759" s="123"/>
      <c r="C759" s="123"/>
      <c r="D759" s="123"/>
      <c r="E759" s="123"/>
      <c r="F759" s="123"/>
      <c r="G759" s="510"/>
      <c r="H759" s="510"/>
      <c r="I759" s="510"/>
      <c r="J759" s="123"/>
      <c r="K759" s="123"/>
    </row>
    <row r="760" spans="1:11" ht="12.75">
      <c r="A760" s="123"/>
      <c r="B760" s="123"/>
      <c r="C760" s="123"/>
      <c r="D760" s="123"/>
      <c r="E760" s="123"/>
      <c r="F760" s="123"/>
      <c r="G760" s="510"/>
      <c r="H760" s="510"/>
      <c r="I760" s="510"/>
      <c r="J760" s="123"/>
      <c r="K760" s="123"/>
    </row>
    <row r="761" spans="1:11" ht="12.75">
      <c r="A761" s="123"/>
      <c r="B761" s="123"/>
      <c r="C761" s="123"/>
      <c r="D761" s="123"/>
      <c r="E761" s="123"/>
      <c r="F761" s="123"/>
      <c r="G761" s="510"/>
      <c r="H761" s="510"/>
      <c r="I761" s="510"/>
      <c r="J761" s="123"/>
      <c r="K761" s="123"/>
    </row>
    <row r="762" spans="1:11" ht="12.75">
      <c r="A762" s="123"/>
      <c r="B762" s="123"/>
      <c r="C762" s="123"/>
      <c r="D762" s="123"/>
      <c r="E762" s="123"/>
      <c r="F762" s="123"/>
      <c r="G762" s="510"/>
      <c r="H762" s="510"/>
      <c r="I762" s="510"/>
      <c r="J762" s="123"/>
      <c r="K762" s="123"/>
    </row>
    <row r="763" spans="1:11" ht="12.75">
      <c r="A763" s="123"/>
      <c r="B763" s="123"/>
      <c r="C763" s="123"/>
      <c r="D763" s="123"/>
      <c r="E763" s="123"/>
      <c r="F763" s="123"/>
      <c r="G763" s="510"/>
      <c r="H763" s="510"/>
      <c r="I763" s="510"/>
      <c r="J763" s="123"/>
      <c r="K763" s="123"/>
    </row>
    <row r="764" spans="1:11" ht="12.75">
      <c r="A764" s="123"/>
      <c r="B764" s="123"/>
      <c r="C764" s="123"/>
      <c r="D764" s="123"/>
      <c r="E764" s="123"/>
      <c r="F764" s="123"/>
      <c r="G764" s="510"/>
      <c r="H764" s="510"/>
      <c r="I764" s="510"/>
      <c r="J764" s="123"/>
      <c r="K764" s="123"/>
    </row>
    <row r="765" spans="1:11" ht="12.75">
      <c r="A765" s="123"/>
      <c r="B765" s="123"/>
      <c r="C765" s="123"/>
      <c r="D765" s="123"/>
      <c r="E765" s="123"/>
      <c r="F765" s="123"/>
      <c r="G765" s="510"/>
      <c r="H765" s="510"/>
      <c r="I765" s="510"/>
      <c r="J765" s="123"/>
      <c r="K765" s="123"/>
    </row>
    <row r="766" spans="1:11" ht="12.75">
      <c r="A766" s="123"/>
      <c r="B766" s="123"/>
      <c r="C766" s="123"/>
      <c r="D766" s="123"/>
      <c r="E766" s="123"/>
      <c r="F766" s="123"/>
      <c r="G766" s="510"/>
      <c r="H766" s="510"/>
      <c r="I766" s="510"/>
      <c r="J766" s="123"/>
      <c r="K766" s="123"/>
    </row>
    <row r="767" spans="1:11" ht="12.75">
      <c r="A767" s="123"/>
      <c r="B767" s="123"/>
      <c r="C767" s="123"/>
      <c r="D767" s="123"/>
      <c r="E767" s="123"/>
      <c r="F767" s="123"/>
      <c r="G767" s="510"/>
      <c r="H767" s="510"/>
      <c r="I767" s="510"/>
      <c r="J767" s="123"/>
      <c r="K767" s="123"/>
    </row>
    <row r="768" spans="1:11" ht="12.75">
      <c r="A768" s="123"/>
      <c r="B768" s="123"/>
      <c r="C768" s="123"/>
      <c r="D768" s="123"/>
      <c r="E768" s="123"/>
      <c r="F768" s="123"/>
      <c r="G768" s="510"/>
      <c r="H768" s="510"/>
      <c r="I768" s="510"/>
      <c r="J768" s="123"/>
      <c r="K768" s="123"/>
    </row>
    <row r="769" spans="1:11" ht="12.75">
      <c r="A769" s="123"/>
      <c r="B769" s="123"/>
      <c r="C769" s="123"/>
      <c r="D769" s="123"/>
      <c r="E769" s="123"/>
      <c r="F769" s="123"/>
      <c r="G769" s="510"/>
      <c r="H769" s="510"/>
      <c r="I769" s="510"/>
      <c r="J769" s="123"/>
      <c r="K769" s="123"/>
    </row>
    <row r="770" spans="1:11" ht="12.75">
      <c r="A770" s="123"/>
      <c r="B770" s="123"/>
      <c r="C770" s="123"/>
      <c r="D770" s="123"/>
      <c r="E770" s="123"/>
      <c r="F770" s="123"/>
      <c r="G770" s="510"/>
      <c r="H770" s="510"/>
      <c r="I770" s="510"/>
      <c r="J770" s="123"/>
      <c r="K770" s="123"/>
    </row>
    <row r="771" spans="1:11" ht="12.75">
      <c r="A771" s="123"/>
      <c r="B771" s="123"/>
      <c r="C771" s="123"/>
      <c r="D771" s="123"/>
      <c r="E771" s="123"/>
      <c r="F771" s="123"/>
      <c r="G771" s="510"/>
      <c r="H771" s="510"/>
      <c r="I771" s="510"/>
      <c r="J771" s="123"/>
      <c r="K771" s="123"/>
    </row>
    <row r="772" spans="1:11" ht="12.75">
      <c r="A772" s="123"/>
      <c r="B772" s="123"/>
      <c r="C772" s="123"/>
      <c r="D772" s="123"/>
      <c r="E772" s="123"/>
      <c r="F772" s="123"/>
      <c r="G772" s="510"/>
      <c r="H772" s="510"/>
      <c r="I772" s="510"/>
      <c r="J772" s="123"/>
      <c r="K772" s="123"/>
    </row>
    <row r="773" spans="1:11" ht="12.75">
      <c r="A773" s="123"/>
      <c r="B773" s="123"/>
      <c r="C773" s="123"/>
      <c r="D773" s="123"/>
      <c r="E773" s="123"/>
      <c r="F773" s="123"/>
      <c r="G773" s="510"/>
      <c r="H773" s="510"/>
      <c r="I773" s="510"/>
      <c r="J773" s="123"/>
      <c r="K773" s="123"/>
    </row>
    <row r="774" spans="1:11" ht="12.75">
      <c r="A774" s="123"/>
      <c r="B774" s="123"/>
      <c r="C774" s="123"/>
      <c r="D774" s="123"/>
      <c r="E774" s="123"/>
      <c r="F774" s="123"/>
      <c r="G774" s="510"/>
      <c r="H774" s="510"/>
      <c r="I774" s="510"/>
      <c r="J774" s="123"/>
      <c r="K774" s="123"/>
    </row>
    <row r="775" spans="1:11" ht="12.75">
      <c r="A775" s="123"/>
      <c r="B775" s="123"/>
      <c r="C775" s="123"/>
      <c r="D775" s="123"/>
      <c r="E775" s="123"/>
      <c r="F775" s="123"/>
      <c r="G775" s="510"/>
      <c r="H775" s="510"/>
      <c r="I775" s="510"/>
      <c r="J775" s="123"/>
      <c r="K775" s="123"/>
    </row>
    <row r="776" spans="1:11" ht="12.75">
      <c r="A776" s="123"/>
      <c r="B776" s="123"/>
      <c r="C776" s="123"/>
      <c r="D776" s="123"/>
      <c r="E776" s="123"/>
      <c r="F776" s="123"/>
      <c r="G776" s="510"/>
      <c r="H776" s="510"/>
      <c r="I776" s="510"/>
      <c r="J776" s="123"/>
      <c r="K776" s="123"/>
    </row>
    <row r="777" spans="1:11" ht="12.75">
      <c r="A777" s="123"/>
      <c r="B777" s="123"/>
      <c r="C777" s="123"/>
      <c r="D777" s="123"/>
      <c r="E777" s="123"/>
      <c r="F777" s="123"/>
      <c r="G777" s="510"/>
      <c r="H777" s="510"/>
      <c r="I777" s="510"/>
      <c r="J777" s="123"/>
      <c r="K777" s="123"/>
    </row>
    <row r="778" spans="1:11" ht="12.75">
      <c r="A778" s="123"/>
      <c r="B778" s="123"/>
      <c r="C778" s="123"/>
      <c r="D778" s="123"/>
      <c r="E778" s="123"/>
      <c r="F778" s="123"/>
      <c r="G778" s="510"/>
      <c r="H778" s="510"/>
      <c r="I778" s="510"/>
      <c r="J778" s="123"/>
      <c r="K778" s="123"/>
    </row>
    <row r="779" spans="1:11" ht="12.75">
      <c r="A779" s="123"/>
      <c r="B779" s="123"/>
      <c r="C779" s="123"/>
      <c r="D779" s="123"/>
      <c r="E779" s="123"/>
      <c r="F779" s="123"/>
      <c r="G779" s="510"/>
      <c r="H779" s="510"/>
      <c r="I779" s="510"/>
      <c r="J779" s="123"/>
      <c r="K779" s="123"/>
    </row>
    <row r="780" spans="1:11" ht="12.75">
      <c r="A780" s="123"/>
      <c r="B780" s="123"/>
      <c r="C780" s="123"/>
      <c r="D780" s="123"/>
      <c r="E780" s="123"/>
      <c r="F780" s="123"/>
      <c r="G780" s="510"/>
      <c r="H780" s="510"/>
      <c r="I780" s="510"/>
      <c r="J780" s="123"/>
      <c r="K780" s="123"/>
    </row>
    <row r="781" spans="1:11" ht="12.75">
      <c r="A781" s="123"/>
      <c r="B781" s="123"/>
      <c r="C781" s="123"/>
      <c r="D781" s="123"/>
      <c r="E781" s="123"/>
      <c r="F781" s="123"/>
      <c r="G781" s="510"/>
      <c r="H781" s="510"/>
      <c r="I781" s="510"/>
      <c r="J781" s="123"/>
      <c r="K781" s="123"/>
    </row>
    <row r="782" spans="1:11" ht="12.75">
      <c r="A782" s="123"/>
      <c r="B782" s="123"/>
      <c r="C782" s="123"/>
      <c r="D782" s="123"/>
      <c r="E782" s="123"/>
      <c r="F782" s="123"/>
      <c r="G782" s="510"/>
      <c r="H782" s="510"/>
      <c r="I782" s="510"/>
      <c r="J782" s="123"/>
      <c r="K782" s="123"/>
    </row>
    <row r="783" spans="1:11" ht="12.75">
      <c r="A783" s="123"/>
      <c r="B783" s="123"/>
      <c r="C783" s="123"/>
      <c r="D783" s="123"/>
      <c r="E783" s="123"/>
      <c r="F783" s="123"/>
      <c r="G783" s="510"/>
      <c r="H783" s="510"/>
      <c r="I783" s="510"/>
      <c r="J783" s="123"/>
      <c r="K783" s="123"/>
    </row>
    <row r="784" spans="1:11" ht="12.75">
      <c r="A784" s="123"/>
      <c r="B784" s="123"/>
      <c r="C784" s="123"/>
      <c r="D784" s="123"/>
      <c r="E784" s="123"/>
      <c r="F784" s="123"/>
      <c r="G784" s="510"/>
      <c r="H784" s="510"/>
      <c r="I784" s="510"/>
      <c r="J784" s="123"/>
      <c r="K784" s="123"/>
    </row>
    <row r="785" spans="1:11" ht="12.75">
      <c r="A785" s="123"/>
      <c r="B785" s="123"/>
      <c r="C785" s="123"/>
      <c r="D785" s="123"/>
      <c r="E785" s="123"/>
      <c r="F785" s="123"/>
      <c r="G785" s="510"/>
      <c r="H785" s="510"/>
      <c r="I785" s="510"/>
      <c r="J785" s="123"/>
      <c r="K785" s="123"/>
    </row>
    <row r="786" spans="1:11" ht="12.75">
      <c r="A786" s="123"/>
      <c r="B786" s="123"/>
      <c r="C786" s="123"/>
      <c r="D786" s="123"/>
      <c r="E786" s="123"/>
      <c r="F786" s="123"/>
      <c r="G786" s="510"/>
      <c r="H786" s="510"/>
      <c r="I786" s="510"/>
      <c r="J786" s="123"/>
      <c r="K786" s="123"/>
    </row>
    <row r="787" spans="1:11" ht="12.75">
      <c r="A787" s="123"/>
      <c r="B787" s="123"/>
      <c r="C787" s="123"/>
      <c r="D787" s="123"/>
      <c r="E787" s="123"/>
      <c r="F787" s="123"/>
      <c r="G787" s="510"/>
      <c r="H787" s="510"/>
      <c r="I787" s="510"/>
      <c r="J787" s="123"/>
      <c r="K787" s="123"/>
    </row>
    <row r="788" spans="1:11" ht="12.75">
      <c r="A788" s="123"/>
      <c r="B788" s="123"/>
      <c r="C788" s="123"/>
      <c r="D788" s="123"/>
      <c r="E788" s="123"/>
      <c r="F788" s="123"/>
      <c r="G788" s="510"/>
      <c r="H788" s="510"/>
      <c r="I788" s="510"/>
      <c r="J788" s="123"/>
      <c r="K788" s="123"/>
    </row>
    <row r="789" spans="1:11" ht="12.75">
      <c r="A789" s="123"/>
      <c r="B789" s="123"/>
      <c r="C789" s="123"/>
      <c r="D789" s="123"/>
      <c r="E789" s="123"/>
      <c r="F789" s="123"/>
      <c r="G789" s="510"/>
      <c r="H789" s="510"/>
      <c r="I789" s="510"/>
      <c r="J789" s="123"/>
      <c r="K789" s="123"/>
    </row>
    <row r="790" spans="1:11" ht="12.75">
      <c r="A790" s="123"/>
      <c r="B790" s="123"/>
      <c r="C790" s="123"/>
      <c r="D790" s="123"/>
      <c r="E790" s="123"/>
      <c r="F790" s="123"/>
      <c r="G790" s="510"/>
      <c r="H790" s="510"/>
      <c r="I790" s="510"/>
      <c r="J790" s="123"/>
      <c r="K790" s="123"/>
    </row>
    <row r="791" spans="1:11" ht="12.75">
      <c r="A791" s="123"/>
      <c r="B791" s="123"/>
      <c r="C791" s="123"/>
      <c r="D791" s="123"/>
      <c r="E791" s="123"/>
      <c r="F791" s="123"/>
      <c r="G791" s="510"/>
      <c r="H791" s="510"/>
      <c r="I791" s="510"/>
      <c r="J791" s="123"/>
      <c r="K791" s="123"/>
    </row>
    <row r="792" spans="1:11" ht="12.75">
      <c r="A792" s="123"/>
      <c r="B792" s="123"/>
      <c r="C792" s="123"/>
      <c r="D792" s="123"/>
      <c r="E792" s="123"/>
      <c r="F792" s="123"/>
      <c r="G792" s="510"/>
      <c r="H792" s="510"/>
      <c r="I792" s="510"/>
      <c r="J792" s="123"/>
      <c r="K792" s="123"/>
    </row>
    <row r="793" spans="1:11" ht="12.75">
      <c r="A793" s="123"/>
      <c r="B793" s="123"/>
      <c r="C793" s="123"/>
      <c r="D793" s="123"/>
      <c r="E793" s="123"/>
      <c r="F793" s="123"/>
      <c r="G793" s="510"/>
      <c r="H793" s="510"/>
      <c r="I793" s="510"/>
      <c r="J793" s="123"/>
      <c r="K793" s="123"/>
    </row>
    <row r="794" spans="1:11" ht="12.75">
      <c r="A794" s="123"/>
      <c r="B794" s="123"/>
      <c r="C794" s="123"/>
      <c r="D794" s="123"/>
      <c r="E794" s="123"/>
      <c r="F794" s="123"/>
      <c r="G794" s="510"/>
      <c r="H794" s="510"/>
      <c r="I794" s="510"/>
      <c r="J794" s="123"/>
      <c r="K794" s="123"/>
    </row>
    <row r="795" spans="1:11" ht="12.75">
      <c r="A795" s="123"/>
      <c r="B795" s="123"/>
      <c r="C795" s="123"/>
      <c r="D795" s="123"/>
      <c r="E795" s="123"/>
      <c r="F795" s="123"/>
      <c r="G795" s="510"/>
      <c r="H795" s="510"/>
      <c r="I795" s="510"/>
      <c r="J795" s="123"/>
      <c r="K795" s="123"/>
    </row>
    <row r="796" spans="1:11" ht="12.75">
      <c r="A796" s="123"/>
      <c r="B796" s="123"/>
      <c r="C796" s="123"/>
      <c r="D796" s="123"/>
      <c r="E796" s="123"/>
      <c r="F796" s="123"/>
      <c r="G796" s="510"/>
      <c r="H796" s="510"/>
      <c r="I796" s="510"/>
      <c r="J796" s="123"/>
      <c r="K796" s="123"/>
    </row>
    <row r="797" spans="1:11" ht="12.75">
      <c r="A797" s="123"/>
      <c r="B797" s="123"/>
      <c r="C797" s="123"/>
      <c r="D797" s="123"/>
      <c r="E797" s="123"/>
      <c r="F797" s="123"/>
      <c r="G797" s="510"/>
      <c r="H797" s="510"/>
      <c r="I797" s="510"/>
      <c r="J797" s="123"/>
      <c r="K797" s="123"/>
    </row>
    <row r="798" spans="1:11" ht="12.75">
      <c r="A798" s="123"/>
      <c r="B798" s="123"/>
      <c r="C798" s="123"/>
      <c r="D798" s="123"/>
      <c r="E798" s="123"/>
      <c r="F798" s="123"/>
      <c r="G798" s="510"/>
      <c r="H798" s="510"/>
      <c r="I798" s="510"/>
      <c r="J798" s="123"/>
      <c r="K798" s="123"/>
    </row>
    <row r="799" spans="1:11" ht="12.75">
      <c r="A799" s="123"/>
      <c r="B799" s="123"/>
      <c r="C799" s="123"/>
      <c r="D799" s="123"/>
      <c r="E799" s="123"/>
      <c r="F799" s="123"/>
      <c r="G799" s="510"/>
      <c r="H799" s="510"/>
      <c r="I799" s="510"/>
      <c r="J799" s="123"/>
      <c r="K799" s="123"/>
    </row>
  </sheetData>
  <sheetProtection password="CC08"/>
  <mergeCells count="12">
    <mergeCell ref="C217:F217"/>
    <mergeCell ref="C150:F150"/>
    <mergeCell ref="C140:F140"/>
    <mergeCell ref="C210:F210"/>
    <mergeCell ref="C58:F58"/>
    <mergeCell ref="C57:F57"/>
    <mergeCell ref="A1:K1"/>
    <mergeCell ref="A2:K2"/>
    <mergeCell ref="A3:K3"/>
    <mergeCell ref="C55:F55"/>
    <mergeCell ref="C54:F54"/>
    <mergeCell ref="C56:F56"/>
  </mergeCells>
  <printOptions horizontalCentered="1"/>
  <pageMargins left="0.3937007874015748" right="0.3937007874015748" top="0.7874015748031497" bottom="0.5905511811023623" header="0.5118110236220472" footer="0.11811023622047245"/>
  <pageSetup horizontalDpi="300" verticalDpi="300" orientation="portrait" paperSize="9" r:id="rId1"/>
  <headerFooter alignWithMargins="0">
    <oddHeader>&amp;C&amp;"Times New Roman CE,Normál"&amp;P&amp;R&amp;"Times New Roman CE,Normál"4/a.számú melléklet
</oddHeader>
    <oddFooter>&amp;L&amp;"Times New Roman CE,Normál"&amp;8&amp;F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7109375" style="200" customWidth="1"/>
    <col min="2" max="2" width="38.7109375" style="200" customWidth="1"/>
    <col min="3" max="3" width="9.28125" style="200" customWidth="1"/>
    <col min="4" max="5" width="12.421875" style="200" customWidth="1"/>
    <col min="6" max="6" width="8.00390625" style="200" customWidth="1"/>
    <col min="7" max="7" width="12.421875" style="200" customWidth="1"/>
    <col min="8" max="16384" width="9.140625" style="200" customWidth="1"/>
  </cols>
  <sheetData>
    <row r="1" spans="1:7" ht="12.75">
      <c r="A1" s="873">
        <v>1</v>
      </c>
      <c r="B1" s="873"/>
      <c r="C1" s="873"/>
      <c r="D1" s="873"/>
      <c r="E1" s="873"/>
      <c r="F1" s="873"/>
      <c r="G1" s="873"/>
    </row>
    <row r="3" spans="1:7" s="201" customFormat="1" ht="16.5">
      <c r="A3" s="874" t="s">
        <v>277</v>
      </c>
      <c r="B3" s="874"/>
      <c r="C3" s="874"/>
      <c r="D3" s="874"/>
      <c r="E3" s="874"/>
      <c r="F3" s="874"/>
      <c r="G3" s="874"/>
    </row>
    <row r="4" spans="1:7" s="201" customFormat="1" ht="17.25">
      <c r="A4" s="875" t="s">
        <v>145</v>
      </c>
      <c r="B4" s="875"/>
      <c r="C4" s="875"/>
      <c r="D4" s="875"/>
      <c r="E4" s="875"/>
      <c r="F4" s="875"/>
      <c r="G4" s="875"/>
    </row>
    <row r="5" spans="1:7" s="201" customFormat="1" ht="16.5">
      <c r="A5" s="876" t="s">
        <v>567</v>
      </c>
      <c r="B5" s="876"/>
      <c r="C5" s="876"/>
      <c r="D5" s="876"/>
      <c r="E5" s="876"/>
      <c r="F5" s="876"/>
      <c r="G5" s="876"/>
    </row>
    <row r="6" spans="1:7" s="201" customFormat="1" ht="16.5">
      <c r="A6" s="202"/>
      <c r="B6" s="203"/>
      <c r="C6" s="204"/>
      <c r="D6" s="204"/>
      <c r="E6" s="204"/>
      <c r="F6" s="204"/>
      <c r="G6" s="204"/>
    </row>
    <row r="7" spans="1:7" ht="18.75">
      <c r="A7" s="205"/>
      <c r="B7" s="205"/>
      <c r="C7" s="206"/>
      <c r="D7" s="206"/>
      <c r="E7" s="206"/>
      <c r="F7" s="206"/>
      <c r="G7" s="206"/>
    </row>
    <row r="8" spans="1:7" ht="15.75">
      <c r="A8" s="207" t="s">
        <v>490</v>
      </c>
      <c r="C8" s="114"/>
      <c r="D8" s="114"/>
      <c r="E8" s="114"/>
      <c r="F8" s="7"/>
      <c r="G8" s="684" t="s">
        <v>377</v>
      </c>
    </row>
    <row r="9" spans="1:7" s="676" customFormat="1" ht="40.5" customHeight="1">
      <c r="A9" s="674" t="s">
        <v>446</v>
      </c>
      <c r="B9" s="675" t="s">
        <v>378</v>
      </c>
      <c r="C9" s="557" t="s">
        <v>297</v>
      </c>
      <c r="D9" s="558" t="s">
        <v>570</v>
      </c>
      <c r="E9" s="558" t="s">
        <v>636</v>
      </c>
      <c r="F9" s="555" t="s">
        <v>572</v>
      </c>
      <c r="G9" s="558" t="s">
        <v>717</v>
      </c>
    </row>
    <row r="10" spans="1:7" s="676" customFormat="1" ht="12">
      <c r="A10" s="677" t="s">
        <v>208</v>
      </c>
      <c r="B10" s="678" t="s">
        <v>209</v>
      </c>
      <c r="C10" s="702" t="s">
        <v>210</v>
      </c>
      <c r="D10" s="702" t="s">
        <v>182</v>
      </c>
      <c r="E10" s="702" t="s">
        <v>183</v>
      </c>
      <c r="F10" s="702" t="s">
        <v>184</v>
      </c>
      <c r="G10" s="702" t="s">
        <v>185</v>
      </c>
    </row>
    <row r="11" spans="1:7" ht="12.75">
      <c r="A11" s="208"/>
      <c r="B11" s="209" t="s">
        <v>166</v>
      </c>
      <c r="C11" s="210"/>
      <c r="D11" s="210"/>
      <c r="E11" s="210"/>
      <c r="F11" s="210"/>
      <c r="G11" s="210"/>
    </row>
    <row r="12" spans="1:7" ht="12.75">
      <c r="A12" s="211" t="s">
        <v>208</v>
      </c>
      <c r="B12" s="212" t="s">
        <v>167</v>
      </c>
      <c r="C12" s="213">
        <v>0</v>
      </c>
      <c r="D12" s="213">
        <v>0</v>
      </c>
      <c r="E12" s="213">
        <v>0</v>
      </c>
      <c r="F12" s="213">
        <v>0</v>
      </c>
      <c r="G12" s="213">
        <f>SUM(E12:F12)</f>
        <v>0</v>
      </c>
    </row>
    <row r="13" spans="1:7" ht="12.75">
      <c r="A13" s="214" t="s">
        <v>209</v>
      </c>
      <c r="B13" s="215" t="s">
        <v>168</v>
      </c>
      <c r="C13" s="213">
        <f>SUM(C14:C16)</f>
        <v>0</v>
      </c>
      <c r="D13" s="213">
        <f>SUM(D14:D16)</f>
        <v>0</v>
      </c>
      <c r="E13" s="213">
        <f>SUM(E14:E16)</f>
        <v>0</v>
      </c>
      <c r="F13" s="213">
        <f>SUM(F14:F16)</f>
        <v>0</v>
      </c>
      <c r="G13" s="213">
        <f aca="true" t="shared" si="0" ref="G13:G39">SUM(E13:F13)</f>
        <v>0</v>
      </c>
    </row>
    <row r="14" spans="1:7" ht="12.75">
      <c r="A14" s="214"/>
      <c r="B14" s="216" t="s">
        <v>308</v>
      </c>
      <c r="C14" s="213">
        <v>0</v>
      </c>
      <c r="D14" s="213">
        <v>0</v>
      </c>
      <c r="E14" s="213">
        <v>0</v>
      </c>
      <c r="F14" s="213">
        <v>0</v>
      </c>
      <c r="G14" s="213">
        <f t="shared" si="0"/>
        <v>0</v>
      </c>
    </row>
    <row r="15" spans="1:7" ht="12.75">
      <c r="A15" s="214"/>
      <c r="B15" s="216" t="s">
        <v>67</v>
      </c>
      <c r="C15" s="213">
        <v>0</v>
      </c>
      <c r="D15" s="213">
        <v>0</v>
      </c>
      <c r="E15" s="213">
        <v>0</v>
      </c>
      <c r="F15" s="213">
        <v>0</v>
      </c>
      <c r="G15" s="213">
        <f t="shared" si="0"/>
        <v>0</v>
      </c>
    </row>
    <row r="16" spans="1:7" ht="12.75">
      <c r="A16" s="214"/>
      <c r="B16" s="216" t="s">
        <v>68</v>
      </c>
      <c r="C16" s="213">
        <v>0</v>
      </c>
      <c r="D16" s="213">
        <v>0</v>
      </c>
      <c r="E16" s="213">
        <v>0</v>
      </c>
      <c r="F16" s="213">
        <v>0</v>
      </c>
      <c r="G16" s="213">
        <f t="shared" si="0"/>
        <v>0</v>
      </c>
    </row>
    <row r="17" spans="1:10" ht="12.75">
      <c r="A17" s="214" t="s">
        <v>210</v>
      </c>
      <c r="B17" s="215" t="s">
        <v>169</v>
      </c>
      <c r="C17" s="213">
        <v>571</v>
      </c>
      <c r="D17" s="213">
        <v>2511</v>
      </c>
      <c r="E17" s="213">
        <v>2327</v>
      </c>
      <c r="F17" s="213">
        <v>100</v>
      </c>
      <c r="G17" s="213">
        <f t="shared" si="0"/>
        <v>2427</v>
      </c>
      <c r="J17" s="267"/>
    </row>
    <row r="18" spans="1:7" ht="25.5">
      <c r="A18" s="211" t="s">
        <v>182</v>
      </c>
      <c r="B18" s="217" t="s">
        <v>292</v>
      </c>
      <c r="C18" s="213">
        <f>SUM(C19:C20)</f>
        <v>0</v>
      </c>
      <c r="D18" s="213">
        <f>SUM(D19:D20)</f>
        <v>0</v>
      </c>
      <c r="E18" s="213">
        <f>SUM(E19:E20)</f>
        <v>400</v>
      </c>
      <c r="F18" s="213">
        <f>SUM(F19:F20)</f>
        <v>-100</v>
      </c>
      <c r="G18" s="213">
        <f t="shared" si="0"/>
        <v>300</v>
      </c>
    </row>
    <row r="19" spans="1:7" ht="12.75">
      <c r="A19" s="211"/>
      <c r="B19" s="218" t="s">
        <v>235</v>
      </c>
      <c r="C19" s="213">
        <v>0</v>
      </c>
      <c r="D19" s="213">
        <v>0</v>
      </c>
      <c r="E19" s="213">
        <v>0</v>
      </c>
      <c r="F19" s="213">
        <v>0</v>
      </c>
      <c r="G19" s="213">
        <f t="shared" si="0"/>
        <v>0</v>
      </c>
    </row>
    <row r="20" spans="1:7" ht="25.5">
      <c r="A20" s="211"/>
      <c r="B20" s="218" t="s">
        <v>280</v>
      </c>
      <c r="C20" s="213">
        <v>0</v>
      </c>
      <c r="D20" s="213">
        <v>0</v>
      </c>
      <c r="E20" s="213">
        <v>400</v>
      </c>
      <c r="F20" s="213">
        <v>-100</v>
      </c>
      <c r="G20" s="213">
        <f t="shared" si="0"/>
        <v>300</v>
      </c>
    </row>
    <row r="21" spans="1:7" ht="12.75">
      <c r="A21" s="219" t="s">
        <v>183</v>
      </c>
      <c r="B21" s="212" t="s">
        <v>250</v>
      </c>
      <c r="C21" s="213">
        <v>0</v>
      </c>
      <c r="D21" s="213">
        <v>0</v>
      </c>
      <c r="E21" s="213">
        <v>0</v>
      </c>
      <c r="F21" s="213">
        <v>0</v>
      </c>
      <c r="G21" s="213">
        <f t="shared" si="0"/>
        <v>0</v>
      </c>
    </row>
    <row r="22" spans="1:7" ht="13.5">
      <c r="A22" s="220" t="s">
        <v>184</v>
      </c>
      <c r="B22" s="221" t="s">
        <v>491</v>
      </c>
      <c r="C22" s="222">
        <f>SUM(C12,C13,C17,C18,C21)</f>
        <v>571</v>
      </c>
      <c r="D22" s="222">
        <f>SUM(D12,D13,D17,D18,D21)</f>
        <v>2511</v>
      </c>
      <c r="E22" s="222">
        <f>SUM(E12,E13,E17,E18,E21)</f>
        <v>2727</v>
      </c>
      <c r="F22" s="222">
        <f>SUM(F12,F13,F17,F18,F21)</f>
        <v>0</v>
      </c>
      <c r="G22" s="222">
        <f t="shared" si="0"/>
        <v>2727</v>
      </c>
    </row>
    <row r="23" spans="1:7" ht="12.75">
      <c r="A23" s="219" t="s">
        <v>185</v>
      </c>
      <c r="B23" s="217" t="s">
        <v>251</v>
      </c>
      <c r="C23" s="213">
        <v>0</v>
      </c>
      <c r="D23" s="213">
        <v>0</v>
      </c>
      <c r="E23" s="213">
        <v>0</v>
      </c>
      <c r="F23" s="213">
        <v>0</v>
      </c>
      <c r="G23" s="213">
        <f t="shared" si="0"/>
        <v>0</v>
      </c>
    </row>
    <row r="24" spans="1:7" ht="12.75">
      <c r="A24" s="211" t="s">
        <v>186</v>
      </c>
      <c r="B24" s="212" t="s">
        <v>72</v>
      </c>
      <c r="C24" s="213">
        <v>0</v>
      </c>
      <c r="D24" s="213">
        <v>0</v>
      </c>
      <c r="E24" s="213">
        <v>0</v>
      </c>
      <c r="F24" s="213">
        <v>0</v>
      </c>
      <c r="G24" s="213">
        <f t="shared" si="0"/>
        <v>0</v>
      </c>
    </row>
    <row r="25" spans="1:7" ht="25.5">
      <c r="A25" s="211" t="s">
        <v>187</v>
      </c>
      <c r="B25" s="212" t="s">
        <v>65</v>
      </c>
      <c r="C25" s="213">
        <v>0</v>
      </c>
      <c r="D25" s="213">
        <v>0</v>
      </c>
      <c r="E25" s="213">
        <v>0</v>
      </c>
      <c r="F25" s="213">
        <v>0</v>
      </c>
      <c r="G25" s="213">
        <f t="shared" si="0"/>
        <v>0</v>
      </c>
    </row>
    <row r="26" spans="1:7" ht="12.75">
      <c r="A26" s="211"/>
      <c r="B26" s="223" t="s">
        <v>237</v>
      </c>
      <c r="C26" s="213">
        <v>0</v>
      </c>
      <c r="D26" s="213">
        <v>0</v>
      </c>
      <c r="E26" s="213">
        <v>0</v>
      </c>
      <c r="F26" s="213">
        <v>0</v>
      </c>
      <c r="G26" s="213">
        <f t="shared" si="0"/>
        <v>0</v>
      </c>
    </row>
    <row r="27" spans="1:7" ht="25.5">
      <c r="A27" s="211"/>
      <c r="B27" s="212" t="s">
        <v>147</v>
      </c>
      <c r="C27" s="213">
        <v>0</v>
      </c>
      <c r="D27" s="213">
        <v>0</v>
      </c>
      <c r="E27" s="213">
        <v>0</v>
      </c>
      <c r="F27" s="213">
        <v>0</v>
      </c>
      <c r="G27" s="213">
        <f t="shared" si="0"/>
        <v>0</v>
      </c>
    </row>
    <row r="28" spans="1:7" ht="27">
      <c r="A28" s="224" t="s">
        <v>188</v>
      </c>
      <c r="B28" s="221" t="s">
        <v>492</v>
      </c>
      <c r="C28" s="222">
        <f>SUM(C23:C27)</f>
        <v>0</v>
      </c>
      <c r="D28" s="222">
        <f>SUM(D23:D27)</f>
        <v>0</v>
      </c>
      <c r="E28" s="222">
        <f>SUM(E23:E27)</f>
        <v>0</v>
      </c>
      <c r="F28" s="222">
        <f>SUM(F23:F27)</f>
        <v>0</v>
      </c>
      <c r="G28" s="213">
        <f t="shared" si="0"/>
        <v>0</v>
      </c>
    </row>
    <row r="29" spans="1:7" ht="15.75">
      <c r="A29" s="225"/>
      <c r="B29" s="226" t="s">
        <v>493</v>
      </c>
      <c r="C29" s="227">
        <f>SUM(C22,C28)</f>
        <v>571</v>
      </c>
      <c r="D29" s="227">
        <f>SUM(D22,D28)</f>
        <v>2511</v>
      </c>
      <c r="E29" s="227">
        <f>SUM(E22,E28)</f>
        <v>2727</v>
      </c>
      <c r="F29" s="227">
        <f>SUM(F22,F28)</f>
        <v>0</v>
      </c>
      <c r="G29" s="227">
        <f t="shared" si="0"/>
        <v>2727</v>
      </c>
    </row>
    <row r="30" spans="1:7" ht="12.75">
      <c r="A30" s="228"/>
      <c r="B30" s="229" t="s">
        <v>228</v>
      </c>
      <c r="C30" s="213"/>
      <c r="D30" s="213"/>
      <c r="E30" s="213"/>
      <c r="F30" s="213"/>
      <c r="G30" s="213"/>
    </row>
    <row r="31" spans="1:7" ht="12.75">
      <c r="A31" s="211" t="s">
        <v>189</v>
      </c>
      <c r="B31" s="230" t="s">
        <v>143</v>
      </c>
      <c r="C31" s="213">
        <v>0</v>
      </c>
      <c r="D31" s="213">
        <v>257</v>
      </c>
      <c r="E31" s="213">
        <v>257</v>
      </c>
      <c r="F31" s="213">
        <v>0</v>
      </c>
      <c r="G31" s="213">
        <f t="shared" si="0"/>
        <v>257</v>
      </c>
    </row>
    <row r="32" spans="1:7" ht="12.75">
      <c r="A32" s="211" t="s">
        <v>190</v>
      </c>
      <c r="B32" s="230" t="s">
        <v>144</v>
      </c>
      <c r="C32" s="213">
        <v>571</v>
      </c>
      <c r="D32" s="213">
        <v>571</v>
      </c>
      <c r="E32" s="213">
        <v>787</v>
      </c>
      <c r="F32" s="213">
        <v>0</v>
      </c>
      <c r="G32" s="213">
        <f t="shared" si="0"/>
        <v>787</v>
      </c>
    </row>
    <row r="33" spans="1:7" ht="12.75">
      <c r="A33" s="211" t="s">
        <v>191</v>
      </c>
      <c r="B33" s="230" t="s">
        <v>30</v>
      </c>
      <c r="C33" s="213">
        <v>0</v>
      </c>
      <c r="D33" s="213">
        <v>0</v>
      </c>
      <c r="E33" s="213">
        <v>0</v>
      </c>
      <c r="F33" s="213">
        <v>0</v>
      </c>
      <c r="G33" s="213">
        <f t="shared" si="0"/>
        <v>0</v>
      </c>
    </row>
    <row r="34" spans="1:7" ht="12.75">
      <c r="A34" s="211" t="s">
        <v>324</v>
      </c>
      <c r="B34" s="230" t="s">
        <v>494</v>
      </c>
      <c r="C34" s="213">
        <v>0</v>
      </c>
      <c r="D34" s="213">
        <v>0</v>
      </c>
      <c r="E34" s="213">
        <v>0</v>
      </c>
      <c r="F34" s="213">
        <v>0</v>
      </c>
      <c r="G34" s="213">
        <f t="shared" si="0"/>
        <v>0</v>
      </c>
    </row>
    <row r="35" spans="1:7" ht="25.5">
      <c r="A35" s="211" t="s">
        <v>325</v>
      </c>
      <c r="B35" s="231" t="s">
        <v>44</v>
      </c>
      <c r="C35" s="213">
        <v>0</v>
      </c>
      <c r="D35" s="213">
        <v>0</v>
      </c>
      <c r="E35" s="213">
        <v>0</v>
      </c>
      <c r="F35" s="213">
        <v>0</v>
      </c>
      <c r="G35" s="213">
        <f t="shared" si="0"/>
        <v>0</v>
      </c>
    </row>
    <row r="36" spans="1:7" ht="12.75">
      <c r="A36" s="211" t="s">
        <v>327</v>
      </c>
      <c r="B36" s="230" t="s">
        <v>63</v>
      </c>
      <c r="C36" s="213">
        <v>0</v>
      </c>
      <c r="D36" s="213">
        <v>0</v>
      </c>
      <c r="E36" s="213">
        <v>0</v>
      </c>
      <c r="F36" s="213">
        <v>0</v>
      </c>
      <c r="G36" s="213">
        <f t="shared" si="0"/>
        <v>0</v>
      </c>
    </row>
    <row r="37" spans="1:7" ht="25.5">
      <c r="A37" s="211" t="s">
        <v>331</v>
      </c>
      <c r="B37" s="231" t="s">
        <v>481</v>
      </c>
      <c r="C37" s="213">
        <v>0</v>
      </c>
      <c r="D37" s="213">
        <v>0</v>
      </c>
      <c r="E37" s="213">
        <v>0</v>
      </c>
      <c r="F37" s="213">
        <v>0</v>
      </c>
      <c r="G37" s="213">
        <f t="shared" si="0"/>
        <v>0</v>
      </c>
    </row>
    <row r="38" spans="1:7" ht="12.75">
      <c r="A38" s="211" t="s">
        <v>333</v>
      </c>
      <c r="B38" s="230" t="s">
        <v>304</v>
      </c>
      <c r="C38" s="213">
        <v>0</v>
      </c>
      <c r="D38" s="213">
        <v>1683</v>
      </c>
      <c r="E38" s="213">
        <v>1683</v>
      </c>
      <c r="F38" s="213">
        <v>0</v>
      </c>
      <c r="G38" s="213">
        <f t="shared" si="0"/>
        <v>1683</v>
      </c>
    </row>
    <row r="39" spans="1:7" ht="15.75">
      <c r="A39" s="232"/>
      <c r="B39" s="233" t="s">
        <v>657</v>
      </c>
      <c r="C39" s="227">
        <f>SUM(C31:C38)</f>
        <v>571</v>
      </c>
      <c r="D39" s="227">
        <f>SUM(D31:D38)</f>
        <v>2511</v>
      </c>
      <c r="E39" s="227">
        <f>SUM(E31:E38)</f>
        <v>2727</v>
      </c>
      <c r="F39" s="227">
        <f>SUM(F31:F38)</f>
        <v>0</v>
      </c>
      <c r="G39" s="227">
        <f t="shared" si="0"/>
        <v>2727</v>
      </c>
    </row>
    <row r="40" spans="1:7" ht="15.75">
      <c r="A40" s="234"/>
      <c r="B40" s="234"/>
      <c r="C40" s="235"/>
      <c r="D40" s="235"/>
      <c r="E40" s="235"/>
      <c r="F40" s="235"/>
      <c r="G40" s="235"/>
    </row>
  </sheetData>
  <sheetProtection/>
  <mergeCells count="4">
    <mergeCell ref="A1:G1"/>
    <mergeCell ref="A3:G3"/>
    <mergeCell ref="A4:G4"/>
    <mergeCell ref="A5:G5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00390625" style="236" customWidth="1"/>
    <col min="2" max="2" width="38.421875" style="236" customWidth="1"/>
    <col min="3" max="3" width="9.28125" style="236" customWidth="1"/>
    <col min="4" max="4" width="11.57421875" style="236" customWidth="1"/>
    <col min="5" max="5" width="11.140625" style="236" customWidth="1"/>
    <col min="6" max="6" width="8.421875" style="236" customWidth="1"/>
    <col min="7" max="7" width="12.00390625" style="236" customWidth="1"/>
    <col min="8" max="9" width="9.140625" style="236" customWidth="1"/>
    <col min="10" max="10" width="5.57421875" style="236" customWidth="1"/>
    <col min="11" max="11" width="6.57421875" style="236" customWidth="1"/>
    <col min="12" max="16384" width="9.140625" style="236" customWidth="1"/>
  </cols>
  <sheetData>
    <row r="1" spans="1:7" ht="12.75">
      <c r="A1" s="877">
        <v>2</v>
      </c>
      <c r="B1" s="877"/>
      <c r="C1" s="877"/>
      <c r="D1" s="877"/>
      <c r="E1" s="877"/>
      <c r="F1" s="877"/>
      <c r="G1" s="877"/>
    </row>
    <row r="3" spans="1:7" s="237" customFormat="1" ht="16.5">
      <c r="A3" s="878" t="s">
        <v>277</v>
      </c>
      <c r="B3" s="878"/>
      <c r="C3" s="878"/>
      <c r="D3" s="878"/>
      <c r="E3" s="878"/>
      <c r="F3" s="878"/>
      <c r="G3" s="878"/>
    </row>
    <row r="4" spans="1:7" s="237" customFormat="1" ht="17.25">
      <c r="A4" s="879" t="s">
        <v>145</v>
      </c>
      <c r="B4" s="879"/>
      <c r="C4" s="879"/>
      <c r="D4" s="879"/>
      <c r="E4" s="879"/>
      <c r="F4" s="879"/>
      <c r="G4" s="879"/>
    </row>
    <row r="5" spans="1:7" s="237" customFormat="1" ht="16.5" customHeight="1">
      <c r="A5" s="876" t="s">
        <v>567</v>
      </c>
      <c r="B5" s="876"/>
      <c r="C5" s="876"/>
      <c r="D5" s="876"/>
      <c r="E5" s="876"/>
      <c r="F5" s="876"/>
      <c r="G5" s="876"/>
    </row>
    <row r="6" spans="1:7" s="237" customFormat="1" ht="16.5">
      <c r="A6" s="238"/>
      <c r="B6" s="238"/>
      <c r="C6" s="239"/>
      <c r="D6" s="239"/>
      <c r="E6" s="239"/>
      <c r="F6" s="239"/>
      <c r="G6" s="239"/>
    </row>
    <row r="7" spans="1:7" ht="18.75">
      <c r="A7" s="240"/>
      <c r="B7" s="240"/>
      <c r="C7" s="241"/>
      <c r="D7" s="241"/>
      <c r="E7" s="241"/>
      <c r="F7" s="241"/>
      <c r="G7" s="241"/>
    </row>
    <row r="8" spans="1:7" ht="15.75">
      <c r="A8" s="242" t="s">
        <v>495</v>
      </c>
      <c r="C8" s="114"/>
      <c r="D8" s="114"/>
      <c r="E8" s="114"/>
      <c r="F8" s="7"/>
      <c r="G8" s="684" t="s">
        <v>377</v>
      </c>
    </row>
    <row r="9" spans="1:7" s="681" customFormat="1" ht="40.5" customHeight="1">
      <c r="A9" s="679" t="s">
        <v>446</v>
      </c>
      <c r="B9" s="680" t="s">
        <v>378</v>
      </c>
      <c r="C9" s="557" t="s">
        <v>297</v>
      </c>
      <c r="D9" s="558" t="s">
        <v>571</v>
      </c>
      <c r="E9" s="558" t="s">
        <v>636</v>
      </c>
      <c r="F9" s="555" t="s">
        <v>572</v>
      </c>
      <c r="G9" s="558" t="s">
        <v>717</v>
      </c>
    </row>
    <row r="10" spans="1:7" s="681" customFormat="1" ht="12">
      <c r="A10" s="682" t="s">
        <v>208</v>
      </c>
      <c r="B10" s="683" t="s">
        <v>209</v>
      </c>
      <c r="C10" s="702" t="s">
        <v>210</v>
      </c>
      <c r="D10" s="702" t="s">
        <v>182</v>
      </c>
      <c r="E10" s="702" t="s">
        <v>183</v>
      </c>
      <c r="F10" s="702" t="s">
        <v>184</v>
      </c>
      <c r="G10" s="702" t="s">
        <v>185</v>
      </c>
    </row>
    <row r="11" spans="1:7" ht="12.75">
      <c r="A11" s="243"/>
      <c r="B11" s="244" t="s">
        <v>166</v>
      </c>
      <c r="C11" s="210"/>
      <c r="D11" s="210"/>
      <c r="E11" s="210"/>
      <c r="F11" s="210"/>
      <c r="G11" s="210"/>
    </row>
    <row r="12" spans="1:7" ht="12.75">
      <c r="A12" s="245" t="s">
        <v>208</v>
      </c>
      <c r="B12" s="246" t="s">
        <v>167</v>
      </c>
      <c r="C12" s="213">
        <v>0</v>
      </c>
      <c r="D12" s="213">
        <v>0</v>
      </c>
      <c r="E12" s="213"/>
      <c r="F12" s="213">
        <v>0</v>
      </c>
      <c r="G12" s="213">
        <f>SUM(E12:F12)</f>
        <v>0</v>
      </c>
    </row>
    <row r="13" spans="1:7" ht="12.75">
      <c r="A13" s="247" t="s">
        <v>209</v>
      </c>
      <c r="B13" s="248" t="s">
        <v>168</v>
      </c>
      <c r="C13" s="213">
        <f>SUM(C14:C16)</f>
        <v>0</v>
      </c>
      <c r="D13" s="213">
        <f>SUM(D14:D16)</f>
        <v>30</v>
      </c>
      <c r="E13" s="213">
        <f>SUM(E14:E16)</f>
        <v>30</v>
      </c>
      <c r="F13" s="213">
        <f>SUM(F14:F16)</f>
        <v>0</v>
      </c>
      <c r="G13" s="213">
        <f aca="true" t="shared" si="0" ref="G13:G39">SUM(E13:F13)</f>
        <v>30</v>
      </c>
    </row>
    <row r="14" spans="1:7" ht="12.75">
      <c r="A14" s="247"/>
      <c r="B14" s="249" t="s">
        <v>308</v>
      </c>
      <c r="C14" s="213">
        <v>0</v>
      </c>
      <c r="D14" s="213">
        <v>26</v>
      </c>
      <c r="E14" s="213">
        <v>26</v>
      </c>
      <c r="F14" s="213">
        <v>0</v>
      </c>
      <c r="G14" s="213">
        <f t="shared" si="0"/>
        <v>26</v>
      </c>
    </row>
    <row r="15" spans="1:7" ht="12.75">
      <c r="A15" s="247"/>
      <c r="B15" s="249" t="s">
        <v>67</v>
      </c>
      <c r="C15" s="213">
        <v>0</v>
      </c>
      <c r="D15" s="213">
        <v>4</v>
      </c>
      <c r="E15" s="213">
        <v>4</v>
      </c>
      <c r="F15" s="213">
        <v>0</v>
      </c>
      <c r="G15" s="213">
        <f t="shared" si="0"/>
        <v>4</v>
      </c>
    </row>
    <row r="16" spans="1:7" ht="12.75">
      <c r="A16" s="247"/>
      <c r="B16" s="249" t="s">
        <v>68</v>
      </c>
      <c r="C16" s="213">
        <v>0</v>
      </c>
      <c r="D16" s="213">
        <v>0</v>
      </c>
      <c r="E16" s="213">
        <v>0</v>
      </c>
      <c r="F16" s="213">
        <v>0</v>
      </c>
      <c r="G16" s="213">
        <f t="shared" si="0"/>
        <v>0</v>
      </c>
    </row>
    <row r="17" spans="1:12" ht="12.75">
      <c r="A17" s="247" t="s">
        <v>210</v>
      </c>
      <c r="B17" s="248" t="s">
        <v>169</v>
      </c>
      <c r="C17" s="213">
        <v>571</v>
      </c>
      <c r="D17" s="213">
        <v>1289</v>
      </c>
      <c r="E17" s="213">
        <v>1477</v>
      </c>
      <c r="F17" s="213">
        <v>0</v>
      </c>
      <c r="G17" s="213">
        <f t="shared" si="0"/>
        <v>1477</v>
      </c>
      <c r="L17" s="268"/>
    </row>
    <row r="18" spans="1:7" ht="25.5">
      <c r="A18" s="245" t="s">
        <v>182</v>
      </c>
      <c r="B18" s="250" t="s">
        <v>292</v>
      </c>
      <c r="C18" s="213">
        <f>SUM(C19:C20)</f>
        <v>0</v>
      </c>
      <c r="D18" s="213">
        <v>0</v>
      </c>
      <c r="E18" s="213">
        <v>0</v>
      </c>
      <c r="F18" s="213">
        <f>SUM(F19:F20)</f>
        <v>0</v>
      </c>
      <c r="G18" s="213">
        <f t="shared" si="0"/>
        <v>0</v>
      </c>
    </row>
    <row r="19" spans="1:7" ht="12.75">
      <c r="A19" s="245"/>
      <c r="B19" s="251" t="s">
        <v>235</v>
      </c>
      <c r="C19" s="213">
        <v>0</v>
      </c>
      <c r="D19" s="213">
        <v>0</v>
      </c>
      <c r="E19" s="213">
        <v>0</v>
      </c>
      <c r="F19" s="213">
        <v>0</v>
      </c>
      <c r="G19" s="213">
        <f t="shared" si="0"/>
        <v>0</v>
      </c>
    </row>
    <row r="20" spans="1:7" ht="25.5">
      <c r="A20" s="245"/>
      <c r="B20" s="251" t="s">
        <v>280</v>
      </c>
      <c r="C20" s="213">
        <v>0</v>
      </c>
      <c r="D20" s="213">
        <v>0</v>
      </c>
      <c r="E20" s="213">
        <v>0</v>
      </c>
      <c r="F20" s="213">
        <v>0</v>
      </c>
      <c r="G20" s="213">
        <f t="shared" si="0"/>
        <v>0</v>
      </c>
    </row>
    <row r="21" spans="1:7" ht="12.75">
      <c r="A21" s="252" t="s">
        <v>183</v>
      </c>
      <c r="B21" s="246" t="s">
        <v>250</v>
      </c>
      <c r="C21" s="213">
        <v>0</v>
      </c>
      <c r="D21" s="213">
        <v>0</v>
      </c>
      <c r="E21" s="213">
        <v>0</v>
      </c>
      <c r="F21" s="213">
        <v>0</v>
      </c>
      <c r="G21" s="213">
        <f t="shared" si="0"/>
        <v>0</v>
      </c>
    </row>
    <row r="22" spans="1:7" ht="13.5">
      <c r="A22" s="253" t="s">
        <v>184</v>
      </c>
      <c r="B22" s="254" t="s">
        <v>491</v>
      </c>
      <c r="C22" s="222">
        <f>SUM(C12,C13,C17,C18,C21)</f>
        <v>571</v>
      </c>
      <c r="D22" s="222">
        <f>SUM(D12,D13,D17,D18,D21)</f>
        <v>1319</v>
      </c>
      <c r="E22" s="222">
        <f>SUM(E12,E13,E17,E18,E21)</f>
        <v>1507</v>
      </c>
      <c r="F22" s="222">
        <f>SUM(F12,F13,F17,F18,F21)</f>
        <v>0</v>
      </c>
      <c r="G22" s="222">
        <f t="shared" si="0"/>
        <v>1507</v>
      </c>
    </row>
    <row r="23" spans="1:7" ht="12.75">
      <c r="A23" s="252" t="s">
        <v>185</v>
      </c>
      <c r="B23" s="250" t="s">
        <v>251</v>
      </c>
      <c r="C23" s="213">
        <v>0</v>
      </c>
      <c r="D23" s="213">
        <v>0</v>
      </c>
      <c r="E23" s="213">
        <v>0</v>
      </c>
      <c r="F23" s="213">
        <v>0</v>
      </c>
      <c r="G23" s="213">
        <f t="shared" si="0"/>
        <v>0</v>
      </c>
    </row>
    <row r="24" spans="1:7" ht="12.75">
      <c r="A24" s="245" t="s">
        <v>186</v>
      </c>
      <c r="B24" s="246" t="s">
        <v>72</v>
      </c>
      <c r="C24" s="213">
        <v>0</v>
      </c>
      <c r="D24" s="213">
        <v>0</v>
      </c>
      <c r="E24" s="213">
        <v>0</v>
      </c>
      <c r="F24" s="213">
        <v>0</v>
      </c>
      <c r="G24" s="213">
        <f t="shared" si="0"/>
        <v>0</v>
      </c>
    </row>
    <row r="25" spans="1:7" ht="25.5">
      <c r="A25" s="245" t="s">
        <v>187</v>
      </c>
      <c r="B25" s="246" t="s">
        <v>65</v>
      </c>
      <c r="C25" s="213">
        <v>0</v>
      </c>
      <c r="D25" s="213">
        <v>0</v>
      </c>
      <c r="E25" s="213">
        <v>0</v>
      </c>
      <c r="F25" s="213">
        <v>0</v>
      </c>
      <c r="G25" s="213">
        <f t="shared" si="0"/>
        <v>0</v>
      </c>
    </row>
    <row r="26" spans="1:7" ht="12.75">
      <c r="A26" s="245"/>
      <c r="B26" s="255" t="s">
        <v>237</v>
      </c>
      <c r="C26" s="213">
        <v>0</v>
      </c>
      <c r="D26" s="213">
        <v>0</v>
      </c>
      <c r="E26" s="213">
        <v>0</v>
      </c>
      <c r="F26" s="213">
        <v>0</v>
      </c>
      <c r="G26" s="213">
        <f t="shared" si="0"/>
        <v>0</v>
      </c>
    </row>
    <row r="27" spans="1:7" ht="25.5">
      <c r="A27" s="245"/>
      <c r="B27" s="246" t="s">
        <v>147</v>
      </c>
      <c r="C27" s="213">
        <v>0</v>
      </c>
      <c r="D27" s="213">
        <v>0</v>
      </c>
      <c r="E27" s="213">
        <v>0</v>
      </c>
      <c r="F27" s="213">
        <v>0</v>
      </c>
      <c r="G27" s="213">
        <f t="shared" si="0"/>
        <v>0</v>
      </c>
    </row>
    <row r="28" spans="1:7" ht="27">
      <c r="A28" s="256" t="s">
        <v>188</v>
      </c>
      <c r="B28" s="254" t="s">
        <v>492</v>
      </c>
      <c r="C28" s="222">
        <f>SUM(C23:C27)</f>
        <v>0</v>
      </c>
      <c r="D28" s="222">
        <f>SUM(D23:D27)</f>
        <v>0</v>
      </c>
      <c r="E28" s="222">
        <f>SUM(E23:E27)</f>
        <v>0</v>
      </c>
      <c r="F28" s="222">
        <f>SUM(F23:F27)</f>
        <v>0</v>
      </c>
      <c r="G28" s="213">
        <f t="shared" si="0"/>
        <v>0</v>
      </c>
    </row>
    <row r="29" spans="1:7" ht="15.75">
      <c r="A29" s="257"/>
      <c r="B29" s="258" t="s">
        <v>493</v>
      </c>
      <c r="C29" s="227">
        <f>SUM(C22,C28)</f>
        <v>571</v>
      </c>
      <c r="D29" s="227">
        <f>SUM(D22,D28)</f>
        <v>1319</v>
      </c>
      <c r="E29" s="227">
        <f>SUM(E22,E28)</f>
        <v>1507</v>
      </c>
      <c r="F29" s="227">
        <f>SUM(F22,F28)</f>
        <v>0</v>
      </c>
      <c r="G29" s="227">
        <f t="shared" si="0"/>
        <v>1507</v>
      </c>
    </row>
    <row r="30" spans="1:7" ht="12.75">
      <c r="A30" s="259"/>
      <c r="B30" s="260" t="s">
        <v>228</v>
      </c>
      <c r="C30" s="213"/>
      <c r="D30" s="213"/>
      <c r="E30" s="213"/>
      <c r="F30" s="213"/>
      <c r="G30" s="213"/>
    </row>
    <row r="31" spans="1:7" ht="12.75">
      <c r="A31" s="245" t="s">
        <v>189</v>
      </c>
      <c r="B31" s="261" t="s">
        <v>143</v>
      </c>
      <c r="C31" s="213">
        <v>0</v>
      </c>
      <c r="D31" s="213">
        <v>357</v>
      </c>
      <c r="E31" s="213">
        <v>357</v>
      </c>
      <c r="F31" s="213">
        <v>0</v>
      </c>
      <c r="G31" s="213">
        <f t="shared" si="0"/>
        <v>357</v>
      </c>
    </row>
    <row r="32" spans="1:7" ht="12.75">
      <c r="A32" s="245" t="s">
        <v>190</v>
      </c>
      <c r="B32" s="261" t="s">
        <v>144</v>
      </c>
      <c r="C32" s="213">
        <v>571</v>
      </c>
      <c r="D32" s="213">
        <v>571</v>
      </c>
      <c r="E32" s="213">
        <v>759</v>
      </c>
      <c r="F32" s="213">
        <v>0</v>
      </c>
      <c r="G32" s="213">
        <f t="shared" si="0"/>
        <v>759</v>
      </c>
    </row>
    <row r="33" spans="1:7" ht="12.75">
      <c r="A33" s="245" t="s">
        <v>191</v>
      </c>
      <c r="B33" s="261" t="s">
        <v>30</v>
      </c>
      <c r="C33" s="213">
        <v>0</v>
      </c>
      <c r="D33" s="213">
        <v>0</v>
      </c>
      <c r="E33" s="213">
        <v>0</v>
      </c>
      <c r="F33" s="213">
        <v>0</v>
      </c>
      <c r="G33" s="213">
        <f t="shared" si="0"/>
        <v>0</v>
      </c>
    </row>
    <row r="34" spans="1:7" ht="12.75">
      <c r="A34" s="245" t="s">
        <v>324</v>
      </c>
      <c r="B34" s="261" t="s">
        <v>494</v>
      </c>
      <c r="C34" s="213">
        <v>0</v>
      </c>
      <c r="D34" s="213">
        <v>0</v>
      </c>
      <c r="E34" s="213">
        <v>0</v>
      </c>
      <c r="F34" s="213">
        <v>0</v>
      </c>
      <c r="G34" s="213">
        <f t="shared" si="0"/>
        <v>0</v>
      </c>
    </row>
    <row r="35" spans="1:7" ht="25.5">
      <c r="A35" s="245" t="s">
        <v>325</v>
      </c>
      <c r="B35" s="262" t="s">
        <v>44</v>
      </c>
      <c r="C35" s="213">
        <v>0</v>
      </c>
      <c r="D35" s="213">
        <v>0</v>
      </c>
      <c r="E35" s="213">
        <v>0</v>
      </c>
      <c r="F35" s="213">
        <v>0</v>
      </c>
      <c r="G35" s="213">
        <f t="shared" si="0"/>
        <v>0</v>
      </c>
    </row>
    <row r="36" spans="1:7" ht="12.75">
      <c r="A36" s="245" t="s">
        <v>327</v>
      </c>
      <c r="B36" s="261" t="s">
        <v>63</v>
      </c>
      <c r="C36" s="213">
        <v>0</v>
      </c>
      <c r="D36" s="213">
        <v>0</v>
      </c>
      <c r="E36" s="213">
        <v>0</v>
      </c>
      <c r="F36" s="213">
        <v>0</v>
      </c>
      <c r="G36" s="213">
        <f t="shared" si="0"/>
        <v>0</v>
      </c>
    </row>
    <row r="37" spans="1:7" ht="25.5">
      <c r="A37" s="245" t="s">
        <v>331</v>
      </c>
      <c r="B37" s="262" t="s">
        <v>481</v>
      </c>
      <c r="C37" s="213">
        <v>0</v>
      </c>
      <c r="D37" s="213">
        <v>0</v>
      </c>
      <c r="E37" s="213">
        <v>0</v>
      </c>
      <c r="F37" s="213">
        <v>0</v>
      </c>
      <c r="G37" s="213">
        <f t="shared" si="0"/>
        <v>0</v>
      </c>
    </row>
    <row r="38" spans="1:7" ht="12.75">
      <c r="A38" s="245" t="s">
        <v>333</v>
      </c>
      <c r="B38" s="261" t="s">
        <v>304</v>
      </c>
      <c r="C38" s="213">
        <v>0</v>
      </c>
      <c r="D38" s="213">
        <v>391</v>
      </c>
      <c r="E38" s="213">
        <v>391</v>
      </c>
      <c r="F38" s="213">
        <v>0</v>
      </c>
      <c r="G38" s="213">
        <f t="shared" si="0"/>
        <v>391</v>
      </c>
    </row>
    <row r="39" spans="1:7" ht="15.75">
      <c r="A39" s="263"/>
      <c r="B39" s="233" t="s">
        <v>657</v>
      </c>
      <c r="C39" s="227">
        <f>SUM(C31:C38)</f>
        <v>571</v>
      </c>
      <c r="D39" s="227">
        <f>SUM(D31:D38)</f>
        <v>1319</v>
      </c>
      <c r="E39" s="227">
        <f>SUM(E31:E38)</f>
        <v>1507</v>
      </c>
      <c r="F39" s="227">
        <f>SUM(F31:F38)</f>
        <v>0</v>
      </c>
      <c r="G39" s="227">
        <f t="shared" si="0"/>
        <v>1507</v>
      </c>
    </row>
    <row r="40" spans="1:7" ht="15.75">
      <c r="A40" s="264"/>
      <c r="B40" s="264"/>
      <c r="C40" s="265"/>
      <c r="D40" s="265"/>
      <c r="E40" s="265"/>
      <c r="F40" s="265"/>
      <c r="G40" s="265"/>
    </row>
  </sheetData>
  <sheetProtection/>
  <mergeCells count="4">
    <mergeCell ref="A1:G1"/>
    <mergeCell ref="A3:G3"/>
    <mergeCell ref="A4:G4"/>
    <mergeCell ref="A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00390625" style="200" customWidth="1"/>
    <col min="2" max="2" width="38.421875" style="200" customWidth="1"/>
    <col min="3" max="3" width="9.421875" style="200" customWidth="1"/>
    <col min="4" max="4" width="11.8515625" style="200" customWidth="1"/>
    <col min="5" max="5" width="12.00390625" style="200" customWidth="1"/>
    <col min="6" max="6" width="8.28125" style="200" customWidth="1"/>
    <col min="7" max="7" width="11.8515625" style="200" customWidth="1"/>
    <col min="8" max="16384" width="9.140625" style="200" customWidth="1"/>
  </cols>
  <sheetData>
    <row r="1" spans="1:7" ht="12.75">
      <c r="A1" s="873">
        <v>3</v>
      </c>
      <c r="B1" s="873"/>
      <c r="C1" s="873"/>
      <c r="D1" s="873"/>
      <c r="E1" s="873"/>
      <c r="F1" s="873"/>
      <c r="G1" s="873"/>
    </row>
    <row r="3" spans="1:7" s="201" customFormat="1" ht="16.5">
      <c r="A3" s="874" t="s">
        <v>277</v>
      </c>
      <c r="B3" s="874"/>
      <c r="C3" s="874"/>
      <c r="D3" s="874"/>
      <c r="E3" s="874"/>
      <c r="F3" s="874"/>
      <c r="G3" s="874"/>
    </row>
    <row r="4" spans="1:7" s="201" customFormat="1" ht="17.25">
      <c r="A4" s="875" t="s">
        <v>145</v>
      </c>
      <c r="B4" s="875"/>
      <c r="C4" s="875"/>
      <c r="D4" s="875"/>
      <c r="E4" s="875"/>
      <c r="F4" s="875"/>
      <c r="G4" s="875"/>
    </row>
    <row r="5" spans="1:7" s="201" customFormat="1" ht="16.5" customHeight="1">
      <c r="A5" s="876" t="s">
        <v>567</v>
      </c>
      <c r="B5" s="876"/>
      <c r="C5" s="876"/>
      <c r="D5" s="876"/>
      <c r="E5" s="876"/>
      <c r="F5" s="876"/>
      <c r="G5" s="876"/>
    </row>
    <row r="6" spans="1:7" s="201" customFormat="1" ht="16.5">
      <c r="A6" s="203"/>
      <c r="B6" s="203"/>
      <c r="C6" s="204"/>
      <c r="D6" s="204"/>
      <c r="E6" s="204"/>
      <c r="F6" s="204"/>
      <c r="G6" s="204"/>
    </row>
    <row r="7" spans="1:7" ht="18.75">
      <c r="A7" s="205"/>
      <c r="B7" s="205"/>
      <c r="C7" s="206"/>
      <c r="D7" s="206"/>
      <c r="E7" s="206"/>
      <c r="F7" s="206"/>
      <c r="G7" s="206"/>
    </row>
    <row r="8" spans="1:7" ht="15.75">
      <c r="A8" s="207" t="s">
        <v>496</v>
      </c>
      <c r="C8" s="114"/>
      <c r="D8" s="114"/>
      <c r="E8" s="114"/>
      <c r="F8" s="7"/>
      <c r="G8" s="684" t="s">
        <v>377</v>
      </c>
    </row>
    <row r="9" spans="1:7" s="676" customFormat="1" ht="40.5" customHeight="1">
      <c r="A9" s="674" t="s">
        <v>446</v>
      </c>
      <c r="B9" s="675" t="s">
        <v>378</v>
      </c>
      <c r="C9" s="557" t="s">
        <v>297</v>
      </c>
      <c r="D9" s="558" t="s">
        <v>570</v>
      </c>
      <c r="E9" s="558" t="s">
        <v>636</v>
      </c>
      <c r="F9" s="555" t="s">
        <v>572</v>
      </c>
      <c r="G9" s="558" t="s">
        <v>717</v>
      </c>
    </row>
    <row r="10" spans="1:7" s="676" customFormat="1" ht="12">
      <c r="A10" s="677" t="s">
        <v>208</v>
      </c>
      <c r="B10" s="678" t="s">
        <v>209</v>
      </c>
      <c r="C10" s="702" t="s">
        <v>210</v>
      </c>
      <c r="D10" s="702" t="s">
        <v>182</v>
      </c>
      <c r="E10" s="702" t="s">
        <v>183</v>
      </c>
      <c r="F10" s="702" t="s">
        <v>184</v>
      </c>
      <c r="G10" s="702" t="s">
        <v>185</v>
      </c>
    </row>
    <row r="11" spans="1:7" ht="12.75">
      <c r="A11" s="208"/>
      <c r="B11" s="209" t="s">
        <v>166</v>
      </c>
      <c r="C11" s="210"/>
      <c r="D11" s="210"/>
      <c r="E11" s="210"/>
      <c r="F11" s="210"/>
      <c r="G11" s="210"/>
    </row>
    <row r="12" spans="1:7" ht="12.75">
      <c r="A12" s="211" t="s">
        <v>208</v>
      </c>
      <c r="B12" s="212" t="s">
        <v>167</v>
      </c>
      <c r="C12" s="213">
        <v>0</v>
      </c>
      <c r="D12" s="213">
        <v>0</v>
      </c>
      <c r="E12" s="213">
        <v>0</v>
      </c>
      <c r="F12" s="213">
        <v>0</v>
      </c>
      <c r="G12" s="213">
        <f>SUM(E12:F12)</f>
        <v>0</v>
      </c>
    </row>
    <row r="13" spans="1:7" ht="12.75">
      <c r="A13" s="214" t="s">
        <v>209</v>
      </c>
      <c r="B13" s="215" t="s">
        <v>168</v>
      </c>
      <c r="C13" s="213">
        <f>SUM(C14:C16)</f>
        <v>0</v>
      </c>
      <c r="D13" s="213">
        <f>SUM(D14:D16)</f>
        <v>0</v>
      </c>
      <c r="E13" s="213">
        <f>SUM(E14:E16)</f>
        <v>0</v>
      </c>
      <c r="F13" s="213">
        <f>SUM(F14:F16)</f>
        <v>0</v>
      </c>
      <c r="G13" s="213">
        <f aca="true" t="shared" si="0" ref="G13:G39">SUM(E13:F13)</f>
        <v>0</v>
      </c>
    </row>
    <row r="14" spans="1:7" ht="12.75">
      <c r="A14" s="214"/>
      <c r="B14" s="216" t="s">
        <v>308</v>
      </c>
      <c r="C14" s="213">
        <v>0</v>
      </c>
      <c r="D14" s="213">
        <v>0</v>
      </c>
      <c r="E14" s="213">
        <v>0</v>
      </c>
      <c r="F14" s="213">
        <v>0</v>
      </c>
      <c r="G14" s="213">
        <f t="shared" si="0"/>
        <v>0</v>
      </c>
    </row>
    <row r="15" spans="1:7" ht="12.75">
      <c r="A15" s="214"/>
      <c r="B15" s="216" t="s">
        <v>67</v>
      </c>
      <c r="C15" s="213">
        <v>0</v>
      </c>
      <c r="D15" s="213">
        <v>0</v>
      </c>
      <c r="E15" s="213">
        <v>0</v>
      </c>
      <c r="F15" s="213">
        <v>0</v>
      </c>
      <c r="G15" s="213">
        <f t="shared" si="0"/>
        <v>0</v>
      </c>
    </row>
    <row r="16" spans="1:7" ht="12.75">
      <c r="A16" s="214"/>
      <c r="B16" s="216" t="s">
        <v>68</v>
      </c>
      <c r="C16" s="213">
        <v>0</v>
      </c>
      <c r="D16" s="213">
        <v>0</v>
      </c>
      <c r="E16" s="213">
        <v>0</v>
      </c>
      <c r="F16" s="213">
        <v>0</v>
      </c>
      <c r="G16" s="213">
        <f t="shared" si="0"/>
        <v>0</v>
      </c>
    </row>
    <row r="17" spans="1:10" ht="12.75">
      <c r="A17" s="214" t="s">
        <v>210</v>
      </c>
      <c r="B17" s="215" t="s">
        <v>169</v>
      </c>
      <c r="C17" s="213">
        <v>571</v>
      </c>
      <c r="D17" s="213">
        <v>4709</v>
      </c>
      <c r="E17" s="213">
        <v>4891</v>
      </c>
      <c r="F17" s="213">
        <v>0</v>
      </c>
      <c r="G17" s="213">
        <f t="shared" si="0"/>
        <v>4891</v>
      </c>
      <c r="J17" s="267"/>
    </row>
    <row r="18" spans="1:7" ht="25.5">
      <c r="A18" s="211" t="s">
        <v>182</v>
      </c>
      <c r="B18" s="217" t="s">
        <v>292</v>
      </c>
      <c r="C18" s="213">
        <f>SUM(C19:C20)</f>
        <v>0</v>
      </c>
      <c r="D18" s="213">
        <v>0</v>
      </c>
      <c r="E18" s="213">
        <v>0</v>
      </c>
      <c r="F18" s="213">
        <f>SUM(F19:F20)</f>
        <v>0</v>
      </c>
      <c r="G18" s="213">
        <f t="shared" si="0"/>
        <v>0</v>
      </c>
    </row>
    <row r="19" spans="1:7" ht="12.75">
      <c r="A19" s="211"/>
      <c r="B19" s="218" t="s">
        <v>235</v>
      </c>
      <c r="C19" s="213">
        <v>0</v>
      </c>
      <c r="D19" s="213">
        <v>0</v>
      </c>
      <c r="E19" s="213">
        <v>0</v>
      </c>
      <c r="F19" s="213">
        <v>0</v>
      </c>
      <c r="G19" s="213">
        <f t="shared" si="0"/>
        <v>0</v>
      </c>
    </row>
    <row r="20" spans="1:7" ht="25.5">
      <c r="A20" s="211"/>
      <c r="B20" s="218" t="s">
        <v>280</v>
      </c>
      <c r="C20" s="213">
        <v>0</v>
      </c>
      <c r="D20" s="213">
        <v>0</v>
      </c>
      <c r="E20" s="213">
        <v>0</v>
      </c>
      <c r="F20" s="213">
        <v>0</v>
      </c>
      <c r="G20" s="213">
        <f t="shared" si="0"/>
        <v>0</v>
      </c>
    </row>
    <row r="21" spans="1:7" ht="12.75">
      <c r="A21" s="219" t="s">
        <v>183</v>
      </c>
      <c r="B21" s="212" t="s">
        <v>250</v>
      </c>
      <c r="C21" s="213">
        <v>0</v>
      </c>
      <c r="D21" s="213">
        <v>0</v>
      </c>
      <c r="E21" s="213">
        <v>0</v>
      </c>
      <c r="F21" s="213">
        <v>0</v>
      </c>
      <c r="G21" s="213">
        <f t="shared" si="0"/>
        <v>0</v>
      </c>
    </row>
    <row r="22" spans="1:7" ht="13.5">
      <c r="A22" s="220" t="s">
        <v>184</v>
      </c>
      <c r="B22" s="221" t="s">
        <v>491</v>
      </c>
      <c r="C22" s="222">
        <f>SUM(C12,C13,C17,C18,C21)</f>
        <v>571</v>
      </c>
      <c r="D22" s="222">
        <f>SUM(D12,D13,D17,D18,D21)</f>
        <v>4709</v>
      </c>
      <c r="E22" s="222">
        <f>SUM(E12,E13,E17,E18,E21)</f>
        <v>4891</v>
      </c>
      <c r="F22" s="222">
        <f>SUM(F12,F13,F17,F18,F21)</f>
        <v>0</v>
      </c>
      <c r="G22" s="222">
        <f t="shared" si="0"/>
        <v>4891</v>
      </c>
    </row>
    <row r="23" spans="1:7" ht="12.75">
      <c r="A23" s="219" t="s">
        <v>185</v>
      </c>
      <c r="B23" s="217" t="s">
        <v>251</v>
      </c>
      <c r="C23" s="213">
        <v>0</v>
      </c>
      <c r="D23" s="213">
        <v>0</v>
      </c>
      <c r="E23" s="213">
        <v>0</v>
      </c>
      <c r="F23" s="213">
        <v>0</v>
      </c>
      <c r="G23" s="213">
        <f t="shared" si="0"/>
        <v>0</v>
      </c>
    </row>
    <row r="24" spans="1:7" ht="12.75">
      <c r="A24" s="211" t="s">
        <v>186</v>
      </c>
      <c r="B24" s="212" t="s">
        <v>72</v>
      </c>
      <c r="C24" s="213">
        <v>0</v>
      </c>
      <c r="D24" s="213">
        <v>0</v>
      </c>
      <c r="E24" s="213">
        <v>0</v>
      </c>
      <c r="F24" s="213">
        <v>0</v>
      </c>
      <c r="G24" s="213">
        <f t="shared" si="0"/>
        <v>0</v>
      </c>
    </row>
    <row r="25" spans="1:7" ht="25.5">
      <c r="A25" s="211" t="s">
        <v>187</v>
      </c>
      <c r="B25" s="212" t="s">
        <v>65</v>
      </c>
      <c r="C25" s="213">
        <v>0</v>
      </c>
      <c r="D25" s="213">
        <v>0</v>
      </c>
      <c r="E25" s="213">
        <v>0</v>
      </c>
      <c r="F25" s="213">
        <v>0</v>
      </c>
      <c r="G25" s="213">
        <f t="shared" si="0"/>
        <v>0</v>
      </c>
    </row>
    <row r="26" spans="1:7" ht="12.75">
      <c r="A26" s="211"/>
      <c r="B26" s="223" t="s">
        <v>237</v>
      </c>
      <c r="C26" s="213">
        <v>0</v>
      </c>
      <c r="D26" s="213">
        <v>0</v>
      </c>
      <c r="E26" s="213">
        <v>0</v>
      </c>
      <c r="F26" s="213">
        <v>0</v>
      </c>
      <c r="G26" s="213">
        <f t="shared" si="0"/>
        <v>0</v>
      </c>
    </row>
    <row r="27" spans="1:7" ht="25.5">
      <c r="A27" s="211"/>
      <c r="B27" s="212" t="s">
        <v>147</v>
      </c>
      <c r="C27" s="213">
        <v>0</v>
      </c>
      <c r="D27" s="213">
        <v>0</v>
      </c>
      <c r="E27" s="213">
        <v>0</v>
      </c>
      <c r="F27" s="213">
        <v>0</v>
      </c>
      <c r="G27" s="213">
        <f t="shared" si="0"/>
        <v>0</v>
      </c>
    </row>
    <row r="28" spans="1:7" ht="27">
      <c r="A28" s="224" t="s">
        <v>188</v>
      </c>
      <c r="B28" s="221" t="s">
        <v>492</v>
      </c>
      <c r="C28" s="222">
        <f>SUM(C23:C27)</f>
        <v>0</v>
      </c>
      <c r="D28" s="222">
        <f>SUM(D23:D27)</f>
        <v>0</v>
      </c>
      <c r="E28" s="222">
        <f>SUM(E23:E27)</f>
        <v>0</v>
      </c>
      <c r="F28" s="222">
        <f>SUM(F23:F27)</f>
        <v>0</v>
      </c>
      <c r="G28" s="213">
        <f t="shared" si="0"/>
        <v>0</v>
      </c>
    </row>
    <row r="29" spans="1:7" ht="15.75">
      <c r="A29" s="225"/>
      <c r="B29" s="226" t="s">
        <v>493</v>
      </c>
      <c r="C29" s="227">
        <f>SUM(C22,C28)</f>
        <v>571</v>
      </c>
      <c r="D29" s="227">
        <f>SUM(D22,D28)</f>
        <v>4709</v>
      </c>
      <c r="E29" s="227">
        <f>SUM(E22,E28)</f>
        <v>4891</v>
      </c>
      <c r="F29" s="227">
        <f>SUM(F22,F28)</f>
        <v>0</v>
      </c>
      <c r="G29" s="227">
        <f t="shared" si="0"/>
        <v>4891</v>
      </c>
    </row>
    <row r="30" spans="1:7" ht="12.75">
      <c r="A30" s="228"/>
      <c r="B30" s="229" t="s">
        <v>228</v>
      </c>
      <c r="C30" s="213"/>
      <c r="D30" s="213"/>
      <c r="E30" s="213"/>
      <c r="F30" s="213"/>
      <c r="G30" s="213"/>
    </row>
    <row r="31" spans="1:7" ht="12.75">
      <c r="A31" s="211" t="s">
        <v>189</v>
      </c>
      <c r="B31" s="230" t="s">
        <v>143</v>
      </c>
      <c r="C31" s="213">
        <v>0</v>
      </c>
      <c r="D31" s="213">
        <v>257</v>
      </c>
      <c r="E31" s="213">
        <v>257</v>
      </c>
      <c r="F31" s="213">
        <v>0</v>
      </c>
      <c r="G31" s="213">
        <f t="shared" si="0"/>
        <v>257</v>
      </c>
    </row>
    <row r="32" spans="1:7" ht="12.75">
      <c r="A32" s="211" t="s">
        <v>190</v>
      </c>
      <c r="B32" s="230" t="s">
        <v>144</v>
      </c>
      <c r="C32" s="213">
        <v>571</v>
      </c>
      <c r="D32" s="213">
        <v>571</v>
      </c>
      <c r="E32" s="213">
        <v>753</v>
      </c>
      <c r="F32" s="213">
        <v>0</v>
      </c>
      <c r="G32" s="213">
        <f t="shared" si="0"/>
        <v>753</v>
      </c>
    </row>
    <row r="33" spans="1:7" ht="12.75">
      <c r="A33" s="211" t="s">
        <v>191</v>
      </c>
      <c r="B33" s="230" t="s">
        <v>30</v>
      </c>
      <c r="C33" s="213">
        <v>0</v>
      </c>
      <c r="D33" s="213">
        <v>0</v>
      </c>
      <c r="E33" s="213">
        <v>0</v>
      </c>
      <c r="F33" s="213">
        <v>0</v>
      </c>
      <c r="G33" s="213">
        <f t="shared" si="0"/>
        <v>0</v>
      </c>
    </row>
    <row r="34" spans="1:7" ht="12.75">
      <c r="A34" s="211" t="s">
        <v>324</v>
      </c>
      <c r="B34" s="230" t="s">
        <v>494</v>
      </c>
      <c r="C34" s="213">
        <v>0</v>
      </c>
      <c r="D34" s="213">
        <v>0</v>
      </c>
      <c r="E34" s="213">
        <v>0</v>
      </c>
      <c r="F34" s="213">
        <v>0</v>
      </c>
      <c r="G34" s="213">
        <f t="shared" si="0"/>
        <v>0</v>
      </c>
    </row>
    <row r="35" spans="1:7" ht="25.5">
      <c r="A35" s="211" t="s">
        <v>325</v>
      </c>
      <c r="B35" s="231" t="s">
        <v>44</v>
      </c>
      <c r="C35" s="213">
        <v>0</v>
      </c>
      <c r="D35" s="213">
        <v>0</v>
      </c>
      <c r="E35" s="213">
        <v>0</v>
      </c>
      <c r="F35" s="213">
        <v>0</v>
      </c>
      <c r="G35" s="213">
        <f t="shared" si="0"/>
        <v>0</v>
      </c>
    </row>
    <row r="36" spans="1:7" ht="12.75">
      <c r="A36" s="211" t="s">
        <v>327</v>
      </c>
      <c r="B36" s="230" t="s">
        <v>63</v>
      </c>
      <c r="C36" s="213">
        <v>0</v>
      </c>
      <c r="D36" s="213">
        <v>0</v>
      </c>
      <c r="E36" s="213">
        <v>0</v>
      </c>
      <c r="F36" s="213">
        <v>0</v>
      </c>
      <c r="G36" s="213">
        <f t="shared" si="0"/>
        <v>0</v>
      </c>
    </row>
    <row r="37" spans="1:7" ht="25.5">
      <c r="A37" s="211" t="s">
        <v>331</v>
      </c>
      <c r="B37" s="231" t="s">
        <v>481</v>
      </c>
      <c r="C37" s="213">
        <v>0</v>
      </c>
      <c r="D37" s="213">
        <v>0</v>
      </c>
      <c r="E37" s="213">
        <v>0</v>
      </c>
      <c r="F37" s="213">
        <v>0</v>
      </c>
      <c r="G37" s="213">
        <f t="shared" si="0"/>
        <v>0</v>
      </c>
    </row>
    <row r="38" spans="1:7" ht="12.75">
      <c r="A38" s="211" t="s">
        <v>333</v>
      </c>
      <c r="B38" s="230" t="s">
        <v>304</v>
      </c>
      <c r="C38" s="213">
        <v>0</v>
      </c>
      <c r="D38" s="213">
        <v>3881</v>
      </c>
      <c r="E38" s="213">
        <v>3881</v>
      </c>
      <c r="F38" s="213">
        <v>0</v>
      </c>
      <c r="G38" s="213">
        <f t="shared" si="0"/>
        <v>3881</v>
      </c>
    </row>
    <row r="39" spans="1:7" ht="15.75">
      <c r="A39" s="232"/>
      <c r="B39" s="233" t="s">
        <v>657</v>
      </c>
      <c r="C39" s="227">
        <f>SUM(C31:C38)</f>
        <v>571</v>
      </c>
      <c r="D39" s="227">
        <f>SUM(D31:D38)</f>
        <v>4709</v>
      </c>
      <c r="E39" s="227">
        <f>SUM(E31:E38)</f>
        <v>4891</v>
      </c>
      <c r="F39" s="227">
        <f>SUM(F31:F38)</f>
        <v>0</v>
      </c>
      <c r="G39" s="227">
        <f t="shared" si="0"/>
        <v>4891</v>
      </c>
    </row>
    <row r="40" spans="1:7" ht="15.75">
      <c r="A40" s="234"/>
      <c r="B40" s="234"/>
      <c r="C40" s="235"/>
      <c r="D40" s="235"/>
      <c r="E40" s="235"/>
      <c r="F40" s="235"/>
      <c r="G40" s="235"/>
    </row>
  </sheetData>
  <sheetProtection/>
  <mergeCells count="4">
    <mergeCell ref="A1:G1"/>
    <mergeCell ref="A3:G3"/>
    <mergeCell ref="A4:G4"/>
    <mergeCell ref="A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00390625" style="200" customWidth="1"/>
    <col min="2" max="2" width="38.421875" style="200" customWidth="1"/>
    <col min="3" max="3" width="8.57421875" style="200" customWidth="1"/>
    <col min="4" max="5" width="11.8515625" style="200" customWidth="1"/>
    <col min="6" max="6" width="9.00390625" style="200" customWidth="1"/>
    <col min="7" max="7" width="12.421875" style="200" customWidth="1"/>
    <col min="8" max="16384" width="9.140625" style="200" customWidth="1"/>
  </cols>
  <sheetData>
    <row r="1" spans="1:7" ht="12.75">
      <c r="A1" s="873">
        <v>4</v>
      </c>
      <c r="B1" s="873"/>
      <c r="C1" s="873"/>
      <c r="D1" s="873"/>
      <c r="E1" s="873"/>
      <c r="F1" s="873"/>
      <c r="G1" s="873"/>
    </row>
    <row r="3" spans="1:7" s="201" customFormat="1" ht="16.5">
      <c r="A3" s="874" t="s">
        <v>277</v>
      </c>
      <c r="B3" s="874"/>
      <c r="C3" s="874"/>
      <c r="D3" s="874"/>
      <c r="E3" s="874"/>
      <c r="F3" s="874"/>
      <c r="G3" s="874"/>
    </row>
    <row r="4" spans="1:7" s="201" customFormat="1" ht="17.25">
      <c r="A4" s="875" t="s">
        <v>145</v>
      </c>
      <c r="B4" s="875"/>
      <c r="C4" s="875"/>
      <c r="D4" s="875"/>
      <c r="E4" s="875"/>
      <c r="F4" s="875"/>
      <c r="G4" s="875"/>
    </row>
    <row r="5" spans="1:7" s="201" customFormat="1" ht="16.5" customHeight="1">
      <c r="A5" s="876" t="s">
        <v>567</v>
      </c>
      <c r="B5" s="876"/>
      <c r="C5" s="876"/>
      <c r="D5" s="876"/>
      <c r="E5" s="876"/>
      <c r="F5" s="876"/>
      <c r="G5" s="876"/>
    </row>
    <row r="6" spans="1:7" s="201" customFormat="1" ht="16.5">
      <c r="A6" s="203"/>
      <c r="B6" s="203"/>
      <c r="C6" s="204"/>
      <c r="D6" s="204"/>
      <c r="E6" s="204"/>
      <c r="F6" s="204"/>
      <c r="G6" s="204"/>
    </row>
    <row r="7" spans="1:7" ht="18.75">
      <c r="A7" s="205"/>
      <c r="B7" s="205"/>
      <c r="C7" s="206"/>
      <c r="D7" s="206"/>
      <c r="E7" s="206"/>
      <c r="F7" s="206"/>
      <c r="G7" s="206"/>
    </row>
    <row r="8" spans="1:7" ht="15.75">
      <c r="A8" s="207" t="s">
        <v>497</v>
      </c>
      <c r="C8" s="114"/>
      <c r="D8" s="114"/>
      <c r="E8" s="114"/>
      <c r="F8" s="7"/>
      <c r="G8" s="684" t="s">
        <v>377</v>
      </c>
    </row>
    <row r="9" spans="1:7" s="676" customFormat="1" ht="40.5" customHeight="1">
      <c r="A9" s="674" t="s">
        <v>446</v>
      </c>
      <c r="B9" s="675" t="s">
        <v>378</v>
      </c>
      <c r="C9" s="557" t="s">
        <v>297</v>
      </c>
      <c r="D9" s="558" t="s">
        <v>570</v>
      </c>
      <c r="E9" s="558" t="s">
        <v>636</v>
      </c>
      <c r="F9" s="555" t="s">
        <v>572</v>
      </c>
      <c r="G9" s="558" t="s">
        <v>717</v>
      </c>
    </row>
    <row r="10" spans="1:7" s="676" customFormat="1" ht="12">
      <c r="A10" s="677" t="s">
        <v>208</v>
      </c>
      <c r="B10" s="678" t="s">
        <v>209</v>
      </c>
      <c r="C10" s="702" t="s">
        <v>210</v>
      </c>
      <c r="D10" s="702" t="s">
        <v>182</v>
      </c>
      <c r="E10" s="702" t="s">
        <v>183</v>
      </c>
      <c r="F10" s="702" t="s">
        <v>184</v>
      </c>
      <c r="G10" s="702" t="s">
        <v>185</v>
      </c>
    </row>
    <row r="11" spans="1:7" ht="12.75">
      <c r="A11" s="208"/>
      <c r="B11" s="209" t="s">
        <v>166</v>
      </c>
      <c r="C11" s="210"/>
      <c r="D11" s="210"/>
      <c r="E11" s="210"/>
      <c r="F11" s="210"/>
      <c r="G11" s="210"/>
    </row>
    <row r="12" spans="1:7" ht="12.75">
      <c r="A12" s="211" t="s">
        <v>208</v>
      </c>
      <c r="B12" s="212" t="s">
        <v>167</v>
      </c>
      <c r="C12" s="213">
        <v>0</v>
      </c>
      <c r="D12" s="213">
        <v>0</v>
      </c>
      <c r="E12" s="213">
        <v>0</v>
      </c>
      <c r="F12" s="213">
        <v>0</v>
      </c>
      <c r="G12" s="213">
        <f>SUM(E12:F12)</f>
        <v>0</v>
      </c>
    </row>
    <row r="13" spans="1:7" ht="12.75">
      <c r="A13" s="214" t="s">
        <v>209</v>
      </c>
      <c r="B13" s="215" t="s">
        <v>168</v>
      </c>
      <c r="C13" s="213">
        <f>SUM(C14:C16)</f>
        <v>0</v>
      </c>
      <c r="D13" s="213">
        <f>SUM(D14:D16)</f>
        <v>0</v>
      </c>
      <c r="E13" s="213">
        <f>SUM(E14:E16)</f>
        <v>0</v>
      </c>
      <c r="F13" s="213">
        <f>SUM(F14:F16)</f>
        <v>0</v>
      </c>
      <c r="G13" s="213">
        <f aca="true" t="shared" si="0" ref="G13:G39">SUM(E13:F13)</f>
        <v>0</v>
      </c>
    </row>
    <row r="14" spans="1:7" ht="12.75">
      <c r="A14" s="214"/>
      <c r="B14" s="216" t="s">
        <v>308</v>
      </c>
      <c r="C14" s="213">
        <v>0</v>
      </c>
      <c r="D14" s="213">
        <v>0</v>
      </c>
      <c r="E14" s="213">
        <v>0</v>
      </c>
      <c r="F14" s="213">
        <v>0</v>
      </c>
      <c r="G14" s="213">
        <f t="shared" si="0"/>
        <v>0</v>
      </c>
    </row>
    <row r="15" spans="1:7" ht="12.75">
      <c r="A15" s="214"/>
      <c r="B15" s="216" t="s">
        <v>67</v>
      </c>
      <c r="C15" s="213">
        <v>0</v>
      </c>
      <c r="D15" s="213">
        <v>0</v>
      </c>
      <c r="E15" s="213">
        <v>0</v>
      </c>
      <c r="F15" s="213">
        <v>0</v>
      </c>
      <c r="G15" s="213">
        <f t="shared" si="0"/>
        <v>0</v>
      </c>
    </row>
    <row r="16" spans="1:7" ht="12.75">
      <c r="A16" s="214"/>
      <c r="B16" s="216" t="s">
        <v>68</v>
      </c>
      <c r="C16" s="213">
        <v>0</v>
      </c>
      <c r="D16" s="213">
        <v>0</v>
      </c>
      <c r="E16" s="213">
        <v>0</v>
      </c>
      <c r="F16" s="213">
        <v>0</v>
      </c>
      <c r="G16" s="213">
        <f t="shared" si="0"/>
        <v>0</v>
      </c>
    </row>
    <row r="17" spans="1:10" ht="12.75">
      <c r="A17" s="214" t="s">
        <v>210</v>
      </c>
      <c r="B17" s="215" t="s">
        <v>169</v>
      </c>
      <c r="C17" s="213">
        <v>570</v>
      </c>
      <c r="D17" s="213">
        <v>1436</v>
      </c>
      <c r="E17" s="213">
        <v>1944</v>
      </c>
      <c r="F17" s="213">
        <v>0</v>
      </c>
      <c r="G17" s="213">
        <f t="shared" si="0"/>
        <v>1944</v>
      </c>
      <c r="J17" s="267"/>
    </row>
    <row r="18" spans="1:7" ht="25.5">
      <c r="A18" s="211" t="s">
        <v>182</v>
      </c>
      <c r="B18" s="217" t="s">
        <v>292</v>
      </c>
      <c r="C18" s="213">
        <f>SUM(C19:C20)</f>
        <v>0</v>
      </c>
      <c r="D18" s="213">
        <v>0</v>
      </c>
      <c r="E18" s="213">
        <v>0</v>
      </c>
      <c r="F18" s="213">
        <f>SUM(F19:F20)</f>
        <v>0</v>
      </c>
      <c r="G18" s="213">
        <f t="shared" si="0"/>
        <v>0</v>
      </c>
    </row>
    <row r="19" spans="1:7" ht="12.75">
      <c r="A19" s="211"/>
      <c r="B19" s="218" t="s">
        <v>235</v>
      </c>
      <c r="C19" s="213">
        <v>0</v>
      </c>
      <c r="D19" s="213">
        <v>0</v>
      </c>
      <c r="E19" s="213">
        <v>0</v>
      </c>
      <c r="F19" s="213">
        <v>0</v>
      </c>
      <c r="G19" s="213">
        <f t="shared" si="0"/>
        <v>0</v>
      </c>
    </row>
    <row r="20" spans="1:7" ht="25.5">
      <c r="A20" s="211"/>
      <c r="B20" s="218" t="s">
        <v>280</v>
      </c>
      <c r="C20" s="213">
        <v>0</v>
      </c>
      <c r="D20" s="213">
        <v>0</v>
      </c>
      <c r="E20" s="213">
        <v>0</v>
      </c>
      <c r="F20" s="213">
        <v>0</v>
      </c>
      <c r="G20" s="213">
        <f t="shared" si="0"/>
        <v>0</v>
      </c>
    </row>
    <row r="21" spans="1:7" ht="12.75">
      <c r="A21" s="219" t="s">
        <v>183</v>
      </c>
      <c r="B21" s="212" t="s">
        <v>250</v>
      </c>
      <c r="C21" s="213">
        <v>0</v>
      </c>
      <c r="D21" s="213">
        <v>0</v>
      </c>
      <c r="E21" s="213">
        <v>0</v>
      </c>
      <c r="F21" s="213">
        <v>0</v>
      </c>
      <c r="G21" s="213">
        <f t="shared" si="0"/>
        <v>0</v>
      </c>
    </row>
    <row r="22" spans="1:7" ht="13.5">
      <c r="A22" s="220" t="s">
        <v>184</v>
      </c>
      <c r="B22" s="221" t="s">
        <v>491</v>
      </c>
      <c r="C22" s="222">
        <f>SUM(C12,C13,C17,C18,C21)</f>
        <v>570</v>
      </c>
      <c r="D22" s="222">
        <f>SUM(D12,D13,D17,D18,D21)</f>
        <v>1436</v>
      </c>
      <c r="E22" s="222">
        <f>SUM(E12,E13,E17,E18,E21)</f>
        <v>1944</v>
      </c>
      <c r="F22" s="222">
        <f>SUM(F12,F13,F17,F18,F21)</f>
        <v>0</v>
      </c>
      <c r="G22" s="222">
        <f t="shared" si="0"/>
        <v>1944</v>
      </c>
    </row>
    <row r="23" spans="1:7" ht="12.75">
      <c r="A23" s="219" t="s">
        <v>185</v>
      </c>
      <c r="B23" s="217" t="s">
        <v>251</v>
      </c>
      <c r="C23" s="213">
        <v>0</v>
      </c>
      <c r="D23" s="213">
        <v>0</v>
      </c>
      <c r="E23" s="213">
        <v>0</v>
      </c>
      <c r="F23" s="213">
        <v>0</v>
      </c>
      <c r="G23" s="213">
        <f t="shared" si="0"/>
        <v>0</v>
      </c>
    </row>
    <row r="24" spans="1:7" ht="12.75">
      <c r="A24" s="211" t="s">
        <v>186</v>
      </c>
      <c r="B24" s="212" t="s">
        <v>72</v>
      </c>
      <c r="C24" s="213">
        <v>0</v>
      </c>
      <c r="D24" s="213">
        <v>0</v>
      </c>
      <c r="E24" s="213">
        <v>0</v>
      </c>
      <c r="F24" s="213">
        <v>0</v>
      </c>
      <c r="G24" s="213">
        <f t="shared" si="0"/>
        <v>0</v>
      </c>
    </row>
    <row r="25" spans="1:7" ht="25.5">
      <c r="A25" s="211" t="s">
        <v>187</v>
      </c>
      <c r="B25" s="212" t="s">
        <v>65</v>
      </c>
      <c r="C25" s="213">
        <v>0</v>
      </c>
      <c r="D25" s="213">
        <v>0</v>
      </c>
      <c r="E25" s="213">
        <v>0</v>
      </c>
      <c r="F25" s="213">
        <v>0</v>
      </c>
      <c r="G25" s="213">
        <f t="shared" si="0"/>
        <v>0</v>
      </c>
    </row>
    <row r="26" spans="1:7" ht="12.75">
      <c r="A26" s="211"/>
      <c r="B26" s="223" t="s">
        <v>237</v>
      </c>
      <c r="C26" s="213">
        <v>0</v>
      </c>
      <c r="D26" s="213">
        <v>0</v>
      </c>
      <c r="E26" s="213">
        <v>0</v>
      </c>
      <c r="F26" s="213">
        <v>0</v>
      </c>
      <c r="G26" s="213">
        <f t="shared" si="0"/>
        <v>0</v>
      </c>
    </row>
    <row r="27" spans="1:7" ht="25.5">
      <c r="A27" s="211"/>
      <c r="B27" s="212" t="s">
        <v>147</v>
      </c>
      <c r="C27" s="213">
        <v>0</v>
      </c>
      <c r="D27" s="213">
        <v>0</v>
      </c>
      <c r="E27" s="213">
        <v>0</v>
      </c>
      <c r="F27" s="213">
        <v>0</v>
      </c>
      <c r="G27" s="213">
        <f t="shared" si="0"/>
        <v>0</v>
      </c>
    </row>
    <row r="28" spans="1:7" ht="27">
      <c r="A28" s="224" t="s">
        <v>188</v>
      </c>
      <c r="B28" s="221" t="s">
        <v>492</v>
      </c>
      <c r="C28" s="222">
        <f>SUM(C23:C27)</f>
        <v>0</v>
      </c>
      <c r="D28" s="222">
        <f>SUM(D23:D27)</f>
        <v>0</v>
      </c>
      <c r="E28" s="222">
        <f>SUM(E23:E27)</f>
        <v>0</v>
      </c>
      <c r="F28" s="222">
        <f>SUM(F23:F27)</f>
        <v>0</v>
      </c>
      <c r="G28" s="213">
        <f t="shared" si="0"/>
        <v>0</v>
      </c>
    </row>
    <row r="29" spans="1:7" ht="15.75">
      <c r="A29" s="225"/>
      <c r="B29" s="226" t="s">
        <v>493</v>
      </c>
      <c r="C29" s="227">
        <f>SUM(C22,C28)</f>
        <v>570</v>
      </c>
      <c r="D29" s="227">
        <f>SUM(D22,D28)</f>
        <v>1436</v>
      </c>
      <c r="E29" s="227">
        <f>SUM(E22,E28)</f>
        <v>1944</v>
      </c>
      <c r="F29" s="227">
        <f>SUM(F22,F28)</f>
        <v>0</v>
      </c>
      <c r="G29" s="227">
        <f t="shared" si="0"/>
        <v>1944</v>
      </c>
    </row>
    <row r="30" spans="1:7" ht="12.75">
      <c r="A30" s="228"/>
      <c r="B30" s="229" t="s">
        <v>228</v>
      </c>
      <c r="C30" s="213"/>
      <c r="D30" s="213"/>
      <c r="E30" s="213"/>
      <c r="F30" s="213"/>
      <c r="G30" s="213"/>
    </row>
    <row r="31" spans="1:7" ht="12.75">
      <c r="A31" s="211" t="s">
        <v>189</v>
      </c>
      <c r="B31" s="230" t="s">
        <v>143</v>
      </c>
      <c r="C31" s="213">
        <v>0</v>
      </c>
      <c r="D31" s="213">
        <v>258</v>
      </c>
      <c r="E31" s="213">
        <v>408</v>
      </c>
      <c r="F31" s="213">
        <v>0</v>
      </c>
      <c r="G31" s="213">
        <f t="shared" si="0"/>
        <v>408</v>
      </c>
    </row>
    <row r="32" spans="1:7" ht="12.75">
      <c r="A32" s="211" t="s">
        <v>190</v>
      </c>
      <c r="B32" s="230" t="s">
        <v>144</v>
      </c>
      <c r="C32" s="213">
        <v>570</v>
      </c>
      <c r="D32" s="213">
        <v>570</v>
      </c>
      <c r="E32" s="213">
        <v>928</v>
      </c>
      <c r="F32" s="213">
        <v>0</v>
      </c>
      <c r="G32" s="213">
        <f t="shared" si="0"/>
        <v>928</v>
      </c>
    </row>
    <row r="33" spans="1:7" ht="12.75">
      <c r="A33" s="211" t="s">
        <v>191</v>
      </c>
      <c r="B33" s="230" t="s">
        <v>30</v>
      </c>
      <c r="C33" s="213">
        <v>0</v>
      </c>
      <c r="D33" s="213">
        <v>0</v>
      </c>
      <c r="E33" s="213">
        <v>0</v>
      </c>
      <c r="F33" s="213">
        <v>0</v>
      </c>
      <c r="G33" s="213">
        <f t="shared" si="0"/>
        <v>0</v>
      </c>
    </row>
    <row r="34" spans="1:7" ht="12.75">
      <c r="A34" s="211" t="s">
        <v>324</v>
      </c>
      <c r="B34" s="230" t="s">
        <v>494</v>
      </c>
      <c r="C34" s="213">
        <v>0</v>
      </c>
      <c r="D34" s="213">
        <v>0</v>
      </c>
      <c r="E34" s="213">
        <v>0</v>
      </c>
      <c r="F34" s="213">
        <v>0</v>
      </c>
      <c r="G34" s="213">
        <f t="shared" si="0"/>
        <v>0</v>
      </c>
    </row>
    <row r="35" spans="1:7" ht="25.5">
      <c r="A35" s="211" t="s">
        <v>325</v>
      </c>
      <c r="B35" s="231" t="s">
        <v>44</v>
      </c>
      <c r="C35" s="213">
        <v>0</v>
      </c>
      <c r="D35" s="213">
        <v>0</v>
      </c>
      <c r="E35" s="213">
        <v>0</v>
      </c>
      <c r="F35" s="213">
        <v>0</v>
      </c>
      <c r="G35" s="213">
        <f t="shared" si="0"/>
        <v>0</v>
      </c>
    </row>
    <row r="36" spans="1:7" ht="12.75">
      <c r="A36" s="211" t="s">
        <v>327</v>
      </c>
      <c r="B36" s="230" t="s">
        <v>63</v>
      </c>
      <c r="C36" s="213">
        <v>0</v>
      </c>
      <c r="D36" s="213">
        <v>0</v>
      </c>
      <c r="E36" s="213">
        <v>0</v>
      </c>
      <c r="F36" s="213">
        <v>0</v>
      </c>
      <c r="G36" s="213">
        <f t="shared" si="0"/>
        <v>0</v>
      </c>
    </row>
    <row r="37" spans="1:7" ht="25.5">
      <c r="A37" s="211" t="s">
        <v>331</v>
      </c>
      <c r="B37" s="231" t="s">
        <v>481</v>
      </c>
      <c r="C37" s="213">
        <v>0</v>
      </c>
      <c r="D37" s="213">
        <v>0</v>
      </c>
      <c r="E37" s="213">
        <v>0</v>
      </c>
      <c r="F37" s="213">
        <v>0</v>
      </c>
      <c r="G37" s="213">
        <f t="shared" si="0"/>
        <v>0</v>
      </c>
    </row>
    <row r="38" spans="1:7" ht="12.75">
      <c r="A38" s="211" t="s">
        <v>333</v>
      </c>
      <c r="B38" s="230" t="s">
        <v>304</v>
      </c>
      <c r="C38" s="213">
        <v>0</v>
      </c>
      <c r="D38" s="213">
        <v>608</v>
      </c>
      <c r="E38" s="213">
        <v>608</v>
      </c>
      <c r="F38" s="213">
        <v>0</v>
      </c>
      <c r="G38" s="213">
        <f t="shared" si="0"/>
        <v>608</v>
      </c>
    </row>
    <row r="39" spans="1:7" ht="15.75">
      <c r="A39" s="232"/>
      <c r="B39" s="233" t="s">
        <v>657</v>
      </c>
      <c r="C39" s="227">
        <f>SUM(C31:C38)</f>
        <v>570</v>
      </c>
      <c r="D39" s="227">
        <f>SUM(D31:D38)</f>
        <v>1436</v>
      </c>
      <c r="E39" s="227">
        <f>SUM(E31:E38)</f>
        <v>1944</v>
      </c>
      <c r="F39" s="227">
        <f>SUM(F31:F38)</f>
        <v>0</v>
      </c>
      <c r="G39" s="227">
        <f t="shared" si="0"/>
        <v>1944</v>
      </c>
    </row>
    <row r="40" spans="1:7" ht="15.75">
      <c r="A40" s="234"/>
      <c r="B40" s="234"/>
      <c r="C40" s="235"/>
      <c r="D40" s="235"/>
      <c r="E40" s="235"/>
      <c r="F40" s="235"/>
      <c r="G40" s="235"/>
    </row>
  </sheetData>
  <sheetProtection/>
  <mergeCells count="4">
    <mergeCell ref="A1:G1"/>
    <mergeCell ref="A3:G3"/>
    <mergeCell ref="A4:G4"/>
    <mergeCell ref="A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00390625" style="200" customWidth="1"/>
    <col min="2" max="2" width="38.421875" style="200" customWidth="1"/>
    <col min="3" max="3" width="9.421875" style="200" customWidth="1"/>
    <col min="4" max="5" width="12.00390625" style="200" customWidth="1"/>
    <col min="6" max="6" width="8.00390625" style="200" customWidth="1"/>
    <col min="7" max="7" width="12.8515625" style="200" customWidth="1"/>
    <col min="8" max="16384" width="9.140625" style="200" customWidth="1"/>
  </cols>
  <sheetData>
    <row r="1" spans="1:7" ht="12.75">
      <c r="A1" s="873">
        <v>5</v>
      </c>
      <c r="B1" s="873"/>
      <c r="C1" s="873"/>
      <c r="D1" s="873"/>
      <c r="E1" s="873"/>
      <c r="F1" s="873"/>
      <c r="G1" s="873"/>
    </row>
    <row r="3" spans="1:7" s="201" customFormat="1" ht="16.5">
      <c r="A3" s="874" t="s">
        <v>277</v>
      </c>
      <c r="B3" s="874"/>
      <c r="C3" s="874"/>
      <c r="D3" s="874"/>
      <c r="E3" s="874"/>
      <c r="F3" s="874"/>
      <c r="G3" s="874"/>
    </row>
    <row r="4" spans="1:7" s="201" customFormat="1" ht="17.25">
      <c r="A4" s="875" t="s">
        <v>145</v>
      </c>
      <c r="B4" s="875"/>
      <c r="C4" s="875"/>
      <c r="D4" s="875"/>
      <c r="E4" s="875"/>
      <c r="F4" s="875"/>
      <c r="G4" s="875"/>
    </row>
    <row r="5" spans="1:7" s="201" customFormat="1" ht="16.5" customHeight="1">
      <c r="A5" s="876" t="s">
        <v>567</v>
      </c>
      <c r="B5" s="876"/>
      <c r="C5" s="876"/>
      <c r="D5" s="876"/>
      <c r="E5" s="876"/>
      <c r="F5" s="876"/>
      <c r="G5" s="876"/>
    </row>
    <row r="6" spans="1:7" s="201" customFormat="1" ht="16.5">
      <c r="A6" s="203"/>
      <c r="B6" s="203"/>
      <c r="C6" s="204"/>
      <c r="D6" s="204"/>
      <c r="E6" s="204"/>
      <c r="F6" s="204"/>
      <c r="G6" s="204"/>
    </row>
    <row r="7" spans="1:7" ht="18.75">
      <c r="A7" s="205"/>
      <c r="B7" s="205"/>
      <c r="C7" s="206"/>
      <c r="D7" s="206"/>
      <c r="E7" s="206"/>
      <c r="F7" s="206"/>
      <c r="G7" s="206"/>
    </row>
    <row r="8" spans="1:7" ht="15.75">
      <c r="A8" s="207" t="s">
        <v>498</v>
      </c>
      <c r="C8" s="114"/>
      <c r="D8" s="114"/>
      <c r="E8" s="114"/>
      <c r="F8" s="7"/>
      <c r="G8" s="684" t="s">
        <v>377</v>
      </c>
    </row>
    <row r="9" spans="1:7" s="676" customFormat="1" ht="40.5" customHeight="1">
      <c r="A9" s="674" t="s">
        <v>446</v>
      </c>
      <c r="B9" s="675" t="s">
        <v>378</v>
      </c>
      <c r="C9" s="557" t="s">
        <v>297</v>
      </c>
      <c r="D9" s="558" t="s">
        <v>570</v>
      </c>
      <c r="E9" s="558" t="s">
        <v>636</v>
      </c>
      <c r="F9" s="555" t="s">
        <v>572</v>
      </c>
      <c r="G9" s="558" t="s">
        <v>717</v>
      </c>
    </row>
    <row r="10" spans="1:7" s="676" customFormat="1" ht="12">
      <c r="A10" s="677" t="s">
        <v>208</v>
      </c>
      <c r="B10" s="678" t="s">
        <v>209</v>
      </c>
      <c r="C10" s="702" t="s">
        <v>210</v>
      </c>
      <c r="D10" s="702" t="s">
        <v>182</v>
      </c>
      <c r="E10" s="702" t="s">
        <v>183</v>
      </c>
      <c r="F10" s="702" t="s">
        <v>184</v>
      </c>
      <c r="G10" s="702" t="s">
        <v>185</v>
      </c>
    </row>
    <row r="11" spans="1:7" ht="12.75">
      <c r="A11" s="208"/>
      <c r="B11" s="209" t="s">
        <v>166</v>
      </c>
      <c r="C11" s="210"/>
      <c r="D11" s="210"/>
      <c r="E11" s="210"/>
      <c r="F11" s="210"/>
      <c r="G11" s="210"/>
    </row>
    <row r="12" spans="1:7" ht="12.75">
      <c r="A12" s="211" t="s">
        <v>208</v>
      </c>
      <c r="B12" s="212" t="s">
        <v>167</v>
      </c>
      <c r="C12" s="213">
        <v>0</v>
      </c>
      <c r="D12" s="213">
        <v>0</v>
      </c>
      <c r="E12" s="213">
        <v>0</v>
      </c>
      <c r="F12" s="213">
        <v>0</v>
      </c>
      <c r="G12" s="213">
        <f>SUM(E12:F12)</f>
        <v>0</v>
      </c>
    </row>
    <row r="13" spans="1:7" ht="12.75">
      <c r="A13" s="214" t="s">
        <v>209</v>
      </c>
      <c r="B13" s="215" t="s">
        <v>168</v>
      </c>
      <c r="C13" s="213">
        <f>SUM(C14:C16)</f>
        <v>0</v>
      </c>
      <c r="D13" s="213">
        <f>SUM(D14:D16)</f>
        <v>0</v>
      </c>
      <c r="E13" s="213">
        <f>SUM(E14:E16)</f>
        <v>0</v>
      </c>
      <c r="F13" s="213">
        <f>SUM(F14:F16)</f>
        <v>0</v>
      </c>
      <c r="G13" s="213">
        <f aca="true" t="shared" si="0" ref="G13:G39">SUM(E13:F13)</f>
        <v>0</v>
      </c>
    </row>
    <row r="14" spans="1:7" ht="12.75">
      <c r="A14" s="214"/>
      <c r="B14" s="216" t="s">
        <v>308</v>
      </c>
      <c r="C14" s="213">
        <v>0</v>
      </c>
      <c r="D14" s="213">
        <v>0</v>
      </c>
      <c r="E14" s="213">
        <v>0</v>
      </c>
      <c r="F14" s="213">
        <v>0</v>
      </c>
      <c r="G14" s="213">
        <f t="shared" si="0"/>
        <v>0</v>
      </c>
    </row>
    <row r="15" spans="1:7" ht="12.75">
      <c r="A15" s="214"/>
      <c r="B15" s="216" t="s">
        <v>67</v>
      </c>
      <c r="C15" s="213">
        <v>0</v>
      </c>
      <c r="D15" s="213">
        <v>0</v>
      </c>
      <c r="E15" s="213">
        <v>0</v>
      </c>
      <c r="F15" s="213">
        <v>0</v>
      </c>
      <c r="G15" s="213">
        <f t="shared" si="0"/>
        <v>0</v>
      </c>
    </row>
    <row r="16" spans="1:7" ht="12.75">
      <c r="A16" s="214"/>
      <c r="B16" s="216" t="s">
        <v>68</v>
      </c>
      <c r="C16" s="213">
        <v>0</v>
      </c>
      <c r="D16" s="213">
        <v>0</v>
      </c>
      <c r="E16" s="213">
        <v>0</v>
      </c>
      <c r="F16" s="213">
        <v>0</v>
      </c>
      <c r="G16" s="213">
        <f t="shared" si="0"/>
        <v>0</v>
      </c>
    </row>
    <row r="17" spans="1:10" ht="12.75">
      <c r="A17" s="214" t="s">
        <v>210</v>
      </c>
      <c r="B17" s="215" t="s">
        <v>169</v>
      </c>
      <c r="C17" s="213">
        <v>570</v>
      </c>
      <c r="D17" s="213">
        <v>927</v>
      </c>
      <c r="E17" s="213">
        <v>1217</v>
      </c>
      <c r="F17" s="213">
        <v>0</v>
      </c>
      <c r="G17" s="213">
        <f t="shared" si="0"/>
        <v>1217</v>
      </c>
      <c r="J17" s="267"/>
    </row>
    <row r="18" spans="1:7" ht="25.5">
      <c r="A18" s="211" t="s">
        <v>182</v>
      </c>
      <c r="B18" s="217" t="s">
        <v>292</v>
      </c>
      <c r="C18" s="213">
        <f>SUM(C19:C20)</f>
        <v>0</v>
      </c>
      <c r="D18" s="213">
        <f>SUM(D19:D20)</f>
        <v>0</v>
      </c>
      <c r="E18" s="213">
        <f>SUM(E19:E20)</f>
        <v>40</v>
      </c>
      <c r="F18" s="213">
        <f>SUM(F19:F20)</f>
        <v>0</v>
      </c>
      <c r="G18" s="213">
        <f t="shared" si="0"/>
        <v>40</v>
      </c>
    </row>
    <row r="19" spans="1:7" ht="12.75">
      <c r="A19" s="211"/>
      <c r="B19" s="218" t="s">
        <v>235</v>
      </c>
      <c r="C19" s="213">
        <v>0</v>
      </c>
      <c r="D19" s="213">
        <v>0</v>
      </c>
      <c r="E19" s="213">
        <v>0</v>
      </c>
      <c r="F19" s="213">
        <v>0</v>
      </c>
      <c r="G19" s="213">
        <f t="shared" si="0"/>
        <v>0</v>
      </c>
    </row>
    <row r="20" spans="1:7" ht="25.5">
      <c r="A20" s="211"/>
      <c r="B20" s="218" t="s">
        <v>280</v>
      </c>
      <c r="C20" s="213">
        <v>0</v>
      </c>
      <c r="D20" s="213">
        <v>0</v>
      </c>
      <c r="E20" s="213">
        <v>40</v>
      </c>
      <c r="F20" s="213">
        <v>0</v>
      </c>
      <c r="G20" s="213">
        <f t="shared" si="0"/>
        <v>40</v>
      </c>
    </row>
    <row r="21" spans="1:7" ht="12.75">
      <c r="A21" s="219" t="s">
        <v>183</v>
      </c>
      <c r="B21" s="212" t="s">
        <v>250</v>
      </c>
      <c r="C21" s="213">
        <v>0</v>
      </c>
      <c r="D21" s="213">
        <v>0</v>
      </c>
      <c r="E21" s="213">
        <v>0</v>
      </c>
      <c r="F21" s="213">
        <v>0</v>
      </c>
      <c r="G21" s="213">
        <f t="shared" si="0"/>
        <v>0</v>
      </c>
    </row>
    <row r="22" spans="1:7" ht="13.5">
      <c r="A22" s="220" t="s">
        <v>184</v>
      </c>
      <c r="B22" s="221" t="s">
        <v>491</v>
      </c>
      <c r="C22" s="222">
        <f>SUM(C12,C13,C17,C18,C21)</f>
        <v>570</v>
      </c>
      <c r="D22" s="222">
        <f>SUM(D12,D13,D17,D18,D21)</f>
        <v>927</v>
      </c>
      <c r="E22" s="222">
        <f>SUM(E12,E13,E17,E18,E21)</f>
        <v>1257</v>
      </c>
      <c r="F22" s="222">
        <f>SUM(F12,F13,F17,F18,F21)</f>
        <v>0</v>
      </c>
      <c r="G22" s="222">
        <f t="shared" si="0"/>
        <v>1257</v>
      </c>
    </row>
    <row r="23" spans="1:7" ht="12.75">
      <c r="A23" s="219" t="s">
        <v>185</v>
      </c>
      <c r="B23" s="217" t="s">
        <v>251</v>
      </c>
      <c r="C23" s="213">
        <v>0</v>
      </c>
      <c r="D23" s="213">
        <v>0</v>
      </c>
      <c r="E23" s="213">
        <v>0</v>
      </c>
      <c r="F23" s="213">
        <v>0</v>
      </c>
      <c r="G23" s="213">
        <f t="shared" si="0"/>
        <v>0</v>
      </c>
    </row>
    <row r="24" spans="1:7" ht="12.75">
      <c r="A24" s="211" t="s">
        <v>186</v>
      </c>
      <c r="B24" s="212" t="s">
        <v>72</v>
      </c>
      <c r="C24" s="213">
        <v>0</v>
      </c>
      <c r="D24" s="213">
        <v>0</v>
      </c>
      <c r="E24" s="213">
        <v>0</v>
      </c>
      <c r="F24" s="213">
        <v>0</v>
      </c>
      <c r="G24" s="213">
        <f t="shared" si="0"/>
        <v>0</v>
      </c>
    </row>
    <row r="25" spans="1:7" ht="25.5">
      <c r="A25" s="211" t="s">
        <v>187</v>
      </c>
      <c r="B25" s="212" t="s">
        <v>65</v>
      </c>
      <c r="C25" s="213">
        <v>0</v>
      </c>
      <c r="D25" s="213">
        <v>0</v>
      </c>
      <c r="E25" s="213">
        <v>0</v>
      </c>
      <c r="F25" s="213">
        <v>0</v>
      </c>
      <c r="G25" s="213">
        <f t="shared" si="0"/>
        <v>0</v>
      </c>
    </row>
    <row r="26" spans="1:7" ht="12.75">
      <c r="A26" s="211"/>
      <c r="B26" s="223" t="s">
        <v>237</v>
      </c>
      <c r="C26" s="213">
        <v>0</v>
      </c>
      <c r="D26" s="213">
        <v>0</v>
      </c>
      <c r="E26" s="213">
        <v>0</v>
      </c>
      <c r="F26" s="213">
        <v>0</v>
      </c>
      <c r="G26" s="213">
        <f t="shared" si="0"/>
        <v>0</v>
      </c>
    </row>
    <row r="27" spans="1:7" ht="25.5">
      <c r="A27" s="211"/>
      <c r="B27" s="212" t="s">
        <v>147</v>
      </c>
      <c r="C27" s="213">
        <v>0</v>
      </c>
      <c r="D27" s="213">
        <v>0</v>
      </c>
      <c r="E27" s="213">
        <v>0</v>
      </c>
      <c r="F27" s="213">
        <v>0</v>
      </c>
      <c r="G27" s="213">
        <f t="shared" si="0"/>
        <v>0</v>
      </c>
    </row>
    <row r="28" spans="1:7" ht="27">
      <c r="A28" s="224" t="s">
        <v>188</v>
      </c>
      <c r="B28" s="221" t="s">
        <v>492</v>
      </c>
      <c r="C28" s="222">
        <f>SUM(C23:C27)</f>
        <v>0</v>
      </c>
      <c r="D28" s="222">
        <f>SUM(D23:D27)</f>
        <v>0</v>
      </c>
      <c r="E28" s="222">
        <f>SUM(E23:E27)</f>
        <v>0</v>
      </c>
      <c r="F28" s="222">
        <f>SUM(F23:F27)</f>
        <v>0</v>
      </c>
      <c r="G28" s="213">
        <f t="shared" si="0"/>
        <v>0</v>
      </c>
    </row>
    <row r="29" spans="1:7" ht="15.75">
      <c r="A29" s="225"/>
      <c r="B29" s="226" t="s">
        <v>493</v>
      </c>
      <c r="C29" s="227">
        <f>SUM(C22,C28)</f>
        <v>570</v>
      </c>
      <c r="D29" s="227">
        <f>SUM(D22,D28)</f>
        <v>927</v>
      </c>
      <c r="E29" s="227">
        <f>SUM(E22,E28)</f>
        <v>1257</v>
      </c>
      <c r="F29" s="227">
        <f>SUM(F22,F28)</f>
        <v>0</v>
      </c>
      <c r="G29" s="227">
        <f t="shared" si="0"/>
        <v>1257</v>
      </c>
    </row>
    <row r="30" spans="1:7" ht="12.75">
      <c r="A30" s="228"/>
      <c r="B30" s="229" t="s">
        <v>228</v>
      </c>
      <c r="C30" s="213"/>
      <c r="D30" s="213"/>
      <c r="E30" s="213"/>
      <c r="F30" s="213"/>
      <c r="G30" s="213"/>
    </row>
    <row r="31" spans="1:7" ht="12.75">
      <c r="A31" s="211" t="s">
        <v>189</v>
      </c>
      <c r="B31" s="230" t="s">
        <v>143</v>
      </c>
      <c r="C31" s="213">
        <v>0</v>
      </c>
      <c r="D31" s="213">
        <v>258</v>
      </c>
      <c r="E31" s="213">
        <v>258</v>
      </c>
      <c r="F31" s="213">
        <v>0</v>
      </c>
      <c r="G31" s="213">
        <f t="shared" si="0"/>
        <v>258</v>
      </c>
    </row>
    <row r="32" spans="1:7" ht="12.75">
      <c r="A32" s="211" t="s">
        <v>190</v>
      </c>
      <c r="B32" s="230" t="s">
        <v>144</v>
      </c>
      <c r="C32" s="213">
        <v>570</v>
      </c>
      <c r="D32" s="213">
        <v>570</v>
      </c>
      <c r="E32" s="213">
        <v>900</v>
      </c>
      <c r="F32" s="213">
        <v>0</v>
      </c>
      <c r="G32" s="213">
        <f t="shared" si="0"/>
        <v>900</v>
      </c>
    </row>
    <row r="33" spans="1:7" ht="12.75">
      <c r="A33" s="211" t="s">
        <v>191</v>
      </c>
      <c r="B33" s="230" t="s">
        <v>30</v>
      </c>
      <c r="C33" s="213">
        <v>0</v>
      </c>
      <c r="D33" s="213">
        <v>0</v>
      </c>
      <c r="E33" s="213">
        <v>0</v>
      </c>
      <c r="F33" s="213">
        <v>0</v>
      </c>
      <c r="G33" s="213">
        <f t="shared" si="0"/>
        <v>0</v>
      </c>
    </row>
    <row r="34" spans="1:7" ht="12.75">
      <c r="A34" s="211" t="s">
        <v>324</v>
      </c>
      <c r="B34" s="230" t="s">
        <v>494</v>
      </c>
      <c r="C34" s="213">
        <v>0</v>
      </c>
      <c r="D34" s="213">
        <v>0</v>
      </c>
      <c r="E34" s="213">
        <v>0</v>
      </c>
      <c r="F34" s="213">
        <v>0</v>
      </c>
      <c r="G34" s="213">
        <f t="shared" si="0"/>
        <v>0</v>
      </c>
    </row>
    <row r="35" spans="1:7" ht="25.5">
      <c r="A35" s="211" t="s">
        <v>325</v>
      </c>
      <c r="B35" s="231" t="s">
        <v>44</v>
      </c>
      <c r="C35" s="213">
        <v>0</v>
      </c>
      <c r="D35" s="213">
        <v>0</v>
      </c>
      <c r="E35" s="213">
        <v>0</v>
      </c>
      <c r="F35" s="213">
        <v>0</v>
      </c>
      <c r="G35" s="213">
        <f t="shared" si="0"/>
        <v>0</v>
      </c>
    </row>
    <row r="36" spans="1:7" ht="12.75">
      <c r="A36" s="211" t="s">
        <v>327</v>
      </c>
      <c r="B36" s="230" t="s">
        <v>63</v>
      </c>
      <c r="C36" s="213">
        <v>0</v>
      </c>
      <c r="D36" s="213">
        <v>0</v>
      </c>
      <c r="E36" s="213">
        <v>0</v>
      </c>
      <c r="F36" s="213">
        <v>0</v>
      </c>
      <c r="G36" s="213">
        <f t="shared" si="0"/>
        <v>0</v>
      </c>
    </row>
    <row r="37" spans="1:7" ht="25.5">
      <c r="A37" s="211" t="s">
        <v>331</v>
      </c>
      <c r="B37" s="231" t="s">
        <v>481</v>
      </c>
      <c r="C37" s="213">
        <v>0</v>
      </c>
      <c r="D37" s="213">
        <v>0</v>
      </c>
      <c r="E37" s="213">
        <v>0</v>
      </c>
      <c r="F37" s="213">
        <v>0</v>
      </c>
      <c r="G37" s="213">
        <f t="shared" si="0"/>
        <v>0</v>
      </c>
    </row>
    <row r="38" spans="1:7" ht="12.75">
      <c r="A38" s="211" t="s">
        <v>333</v>
      </c>
      <c r="B38" s="230" t="s">
        <v>304</v>
      </c>
      <c r="C38" s="213">
        <v>0</v>
      </c>
      <c r="D38" s="213">
        <v>99</v>
      </c>
      <c r="E38" s="213">
        <v>99</v>
      </c>
      <c r="F38" s="213">
        <v>0</v>
      </c>
      <c r="G38" s="213">
        <f t="shared" si="0"/>
        <v>99</v>
      </c>
    </row>
    <row r="39" spans="1:7" ht="15.75">
      <c r="A39" s="232"/>
      <c r="B39" s="233" t="s">
        <v>657</v>
      </c>
      <c r="C39" s="227">
        <f>SUM(C31:C38)</f>
        <v>570</v>
      </c>
      <c r="D39" s="227">
        <f>SUM(D31:D38)</f>
        <v>927</v>
      </c>
      <c r="E39" s="227">
        <f>SUM(E31:E38)</f>
        <v>1257</v>
      </c>
      <c r="F39" s="227">
        <f>SUM(F31:F38)</f>
        <v>0</v>
      </c>
      <c r="G39" s="227">
        <f t="shared" si="0"/>
        <v>1257</v>
      </c>
    </row>
    <row r="40" spans="1:7" ht="15.75">
      <c r="A40" s="234"/>
      <c r="B40" s="234"/>
      <c r="C40" s="235"/>
      <c r="D40" s="235"/>
      <c r="E40" s="235"/>
      <c r="F40" s="235"/>
      <c r="G40" s="235"/>
    </row>
  </sheetData>
  <sheetProtection/>
  <mergeCells count="4">
    <mergeCell ref="A1:G1"/>
    <mergeCell ref="A3:G3"/>
    <mergeCell ref="A4:G4"/>
    <mergeCell ref="A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00390625" style="200" customWidth="1"/>
    <col min="2" max="2" width="38.421875" style="200" customWidth="1"/>
    <col min="3" max="3" width="9.421875" style="200" customWidth="1"/>
    <col min="4" max="5" width="12.00390625" style="200" customWidth="1"/>
    <col min="6" max="6" width="8.57421875" style="200" customWidth="1"/>
    <col min="7" max="7" width="11.421875" style="200" customWidth="1"/>
    <col min="8" max="16384" width="9.140625" style="200" customWidth="1"/>
  </cols>
  <sheetData>
    <row r="1" spans="1:7" ht="12.75">
      <c r="A1" s="873">
        <v>6</v>
      </c>
      <c r="B1" s="873"/>
      <c r="C1" s="873"/>
      <c r="D1" s="873"/>
      <c r="E1" s="873"/>
      <c r="F1" s="873"/>
      <c r="G1" s="873"/>
    </row>
    <row r="3" spans="1:7" s="201" customFormat="1" ht="16.5">
      <c r="A3" s="874" t="s">
        <v>277</v>
      </c>
      <c r="B3" s="874"/>
      <c r="C3" s="874"/>
      <c r="D3" s="874"/>
      <c r="E3" s="874"/>
      <c r="F3" s="874"/>
      <c r="G3" s="874"/>
    </row>
    <row r="4" spans="1:7" s="201" customFormat="1" ht="17.25">
      <c r="A4" s="875" t="s">
        <v>145</v>
      </c>
      <c r="B4" s="875"/>
      <c r="C4" s="875"/>
      <c r="D4" s="875"/>
      <c r="E4" s="875"/>
      <c r="F4" s="875"/>
      <c r="G4" s="875"/>
    </row>
    <row r="5" spans="1:7" s="201" customFormat="1" ht="16.5" customHeight="1">
      <c r="A5" s="876" t="s">
        <v>567</v>
      </c>
      <c r="B5" s="876"/>
      <c r="C5" s="876"/>
      <c r="D5" s="876"/>
      <c r="E5" s="876"/>
      <c r="F5" s="876"/>
      <c r="G5" s="876"/>
    </row>
    <row r="6" spans="1:7" s="201" customFormat="1" ht="16.5">
      <c r="A6" s="203"/>
      <c r="B6" s="203"/>
      <c r="C6" s="204"/>
      <c r="D6" s="204"/>
      <c r="E6" s="204"/>
      <c r="F6" s="204"/>
      <c r="G6" s="204"/>
    </row>
    <row r="7" spans="1:7" ht="18.75">
      <c r="A7" s="205"/>
      <c r="B7" s="205"/>
      <c r="C7" s="206"/>
      <c r="D7" s="206"/>
      <c r="E7" s="206"/>
      <c r="F7" s="206"/>
      <c r="G7" s="206"/>
    </row>
    <row r="8" spans="1:7" ht="15.75">
      <c r="A8" s="207" t="s">
        <v>499</v>
      </c>
      <c r="C8" s="114"/>
      <c r="D8" s="114"/>
      <c r="E8" s="114"/>
      <c r="F8" s="7"/>
      <c r="G8" s="684" t="s">
        <v>377</v>
      </c>
    </row>
    <row r="9" spans="1:7" s="676" customFormat="1" ht="40.5" customHeight="1">
      <c r="A9" s="674" t="s">
        <v>446</v>
      </c>
      <c r="B9" s="675" t="s">
        <v>378</v>
      </c>
      <c r="C9" s="557" t="s">
        <v>297</v>
      </c>
      <c r="D9" s="558" t="s">
        <v>570</v>
      </c>
      <c r="E9" s="558" t="s">
        <v>636</v>
      </c>
      <c r="F9" s="555" t="s">
        <v>572</v>
      </c>
      <c r="G9" s="558" t="s">
        <v>717</v>
      </c>
    </row>
    <row r="10" spans="1:7" s="676" customFormat="1" ht="12">
      <c r="A10" s="677" t="s">
        <v>208</v>
      </c>
      <c r="B10" s="678" t="s">
        <v>209</v>
      </c>
      <c r="C10" s="702" t="s">
        <v>210</v>
      </c>
      <c r="D10" s="702" t="s">
        <v>182</v>
      </c>
      <c r="E10" s="702" t="s">
        <v>183</v>
      </c>
      <c r="F10" s="702" t="s">
        <v>184</v>
      </c>
      <c r="G10" s="702" t="s">
        <v>185</v>
      </c>
    </row>
    <row r="11" spans="1:7" ht="12.75">
      <c r="A11" s="208"/>
      <c r="B11" s="209" t="s">
        <v>166</v>
      </c>
      <c r="C11" s="210"/>
      <c r="D11" s="210"/>
      <c r="E11" s="210"/>
      <c r="F11" s="210"/>
      <c r="G11" s="210"/>
    </row>
    <row r="12" spans="1:7" ht="12.75">
      <c r="A12" s="211" t="s">
        <v>208</v>
      </c>
      <c r="B12" s="212" t="s">
        <v>167</v>
      </c>
      <c r="C12" s="213">
        <v>0</v>
      </c>
      <c r="D12" s="213">
        <v>0</v>
      </c>
      <c r="E12" s="213">
        <v>0</v>
      </c>
      <c r="F12" s="213">
        <v>0</v>
      </c>
      <c r="G12" s="213">
        <f>SUM(E12:F12)</f>
        <v>0</v>
      </c>
    </row>
    <row r="13" spans="1:7" ht="12.75">
      <c r="A13" s="214" t="s">
        <v>209</v>
      </c>
      <c r="B13" s="215" t="s">
        <v>168</v>
      </c>
      <c r="C13" s="213">
        <f>SUM(C14:C16)</f>
        <v>0</v>
      </c>
      <c r="D13" s="213">
        <f>SUM(D14:D16)</f>
        <v>0</v>
      </c>
      <c r="E13" s="213">
        <f>SUM(E14:E16)</f>
        <v>0</v>
      </c>
      <c r="F13" s="213">
        <f>SUM(F14:F16)</f>
        <v>0</v>
      </c>
      <c r="G13" s="213">
        <f aca="true" t="shared" si="0" ref="G13:G39">SUM(E13:F13)</f>
        <v>0</v>
      </c>
    </row>
    <row r="14" spans="1:7" ht="12.75">
      <c r="A14" s="214"/>
      <c r="B14" s="216" t="s">
        <v>308</v>
      </c>
      <c r="C14" s="213">
        <v>0</v>
      </c>
      <c r="D14" s="213">
        <v>0</v>
      </c>
      <c r="E14" s="213">
        <v>0</v>
      </c>
      <c r="F14" s="213">
        <v>0</v>
      </c>
      <c r="G14" s="213">
        <f t="shared" si="0"/>
        <v>0</v>
      </c>
    </row>
    <row r="15" spans="1:7" ht="12.75">
      <c r="A15" s="214"/>
      <c r="B15" s="216" t="s">
        <v>67</v>
      </c>
      <c r="C15" s="213">
        <v>0</v>
      </c>
      <c r="D15" s="213">
        <v>0</v>
      </c>
      <c r="E15" s="213">
        <v>0</v>
      </c>
      <c r="F15" s="213">
        <v>0</v>
      </c>
      <c r="G15" s="213">
        <f t="shared" si="0"/>
        <v>0</v>
      </c>
    </row>
    <row r="16" spans="1:7" ht="12.75">
      <c r="A16" s="214"/>
      <c r="B16" s="216" t="s">
        <v>68</v>
      </c>
      <c r="C16" s="213">
        <v>0</v>
      </c>
      <c r="D16" s="213">
        <v>0</v>
      </c>
      <c r="E16" s="213">
        <v>0</v>
      </c>
      <c r="F16" s="213">
        <v>0</v>
      </c>
      <c r="G16" s="213">
        <f t="shared" si="0"/>
        <v>0</v>
      </c>
    </row>
    <row r="17" spans="1:10" ht="12.75">
      <c r="A17" s="214" t="s">
        <v>210</v>
      </c>
      <c r="B17" s="215" t="s">
        <v>169</v>
      </c>
      <c r="C17" s="213">
        <v>571</v>
      </c>
      <c r="D17" s="213">
        <v>1677</v>
      </c>
      <c r="E17" s="213">
        <v>1865</v>
      </c>
      <c r="F17" s="213">
        <v>0</v>
      </c>
      <c r="G17" s="213">
        <f t="shared" si="0"/>
        <v>1865</v>
      </c>
      <c r="J17" s="267"/>
    </row>
    <row r="18" spans="1:7" ht="25.5">
      <c r="A18" s="211" t="s">
        <v>182</v>
      </c>
      <c r="B18" s="217" t="s">
        <v>292</v>
      </c>
      <c r="C18" s="213">
        <f>SUM(C19:C20)</f>
        <v>0</v>
      </c>
      <c r="D18" s="213">
        <v>0</v>
      </c>
      <c r="E18" s="213">
        <v>0</v>
      </c>
      <c r="F18" s="213">
        <f>SUM(F19:F20)</f>
        <v>0</v>
      </c>
      <c r="G18" s="213">
        <f t="shared" si="0"/>
        <v>0</v>
      </c>
    </row>
    <row r="19" spans="1:7" ht="12.75">
      <c r="A19" s="211"/>
      <c r="B19" s="218" t="s">
        <v>235</v>
      </c>
      <c r="C19" s="213">
        <v>0</v>
      </c>
      <c r="D19" s="213">
        <v>0</v>
      </c>
      <c r="E19" s="213">
        <v>0</v>
      </c>
      <c r="F19" s="213">
        <v>0</v>
      </c>
      <c r="G19" s="213">
        <f t="shared" si="0"/>
        <v>0</v>
      </c>
    </row>
    <row r="20" spans="1:7" ht="25.5">
      <c r="A20" s="211"/>
      <c r="B20" s="218" t="s">
        <v>280</v>
      </c>
      <c r="C20" s="213">
        <v>0</v>
      </c>
      <c r="D20" s="213">
        <v>0</v>
      </c>
      <c r="E20" s="213">
        <v>0</v>
      </c>
      <c r="F20" s="213">
        <v>0</v>
      </c>
      <c r="G20" s="213">
        <f t="shared" si="0"/>
        <v>0</v>
      </c>
    </row>
    <row r="21" spans="1:7" ht="12.75">
      <c r="A21" s="219" t="s">
        <v>183</v>
      </c>
      <c r="B21" s="212" t="s">
        <v>250</v>
      </c>
      <c r="C21" s="213">
        <v>0</v>
      </c>
      <c r="D21" s="213">
        <v>0</v>
      </c>
      <c r="E21" s="213">
        <v>0</v>
      </c>
      <c r="F21" s="213">
        <v>0</v>
      </c>
      <c r="G21" s="213">
        <f t="shared" si="0"/>
        <v>0</v>
      </c>
    </row>
    <row r="22" spans="1:7" ht="13.5">
      <c r="A22" s="220" t="s">
        <v>184</v>
      </c>
      <c r="B22" s="221" t="s">
        <v>491</v>
      </c>
      <c r="C22" s="222">
        <f>SUM(C12,C13,C17,C18,C21)</f>
        <v>571</v>
      </c>
      <c r="D22" s="222">
        <f>SUM(D12,D13,D17,D18,D21)</f>
        <v>1677</v>
      </c>
      <c r="E22" s="222">
        <f>SUM(E12,E13,E17,E18,E21)</f>
        <v>1865</v>
      </c>
      <c r="F22" s="222">
        <f>SUM(F12,F13,F17,F18,F21)</f>
        <v>0</v>
      </c>
      <c r="G22" s="222">
        <f t="shared" si="0"/>
        <v>1865</v>
      </c>
    </row>
    <row r="23" spans="1:7" ht="12.75">
      <c r="A23" s="219" t="s">
        <v>185</v>
      </c>
      <c r="B23" s="217" t="s">
        <v>251</v>
      </c>
      <c r="C23" s="213">
        <v>0</v>
      </c>
      <c r="D23" s="213">
        <v>0</v>
      </c>
      <c r="E23" s="213">
        <v>0</v>
      </c>
      <c r="F23" s="213">
        <v>0</v>
      </c>
      <c r="G23" s="213">
        <f t="shared" si="0"/>
        <v>0</v>
      </c>
    </row>
    <row r="24" spans="1:7" ht="12.75">
      <c r="A24" s="211" t="s">
        <v>186</v>
      </c>
      <c r="B24" s="212" t="s">
        <v>72</v>
      </c>
      <c r="C24" s="213">
        <v>0</v>
      </c>
      <c r="D24" s="213">
        <v>0</v>
      </c>
      <c r="E24" s="213">
        <v>0</v>
      </c>
      <c r="F24" s="213">
        <v>0</v>
      </c>
      <c r="G24" s="213">
        <f t="shared" si="0"/>
        <v>0</v>
      </c>
    </row>
    <row r="25" spans="1:7" ht="25.5">
      <c r="A25" s="211" t="s">
        <v>187</v>
      </c>
      <c r="B25" s="212" t="s">
        <v>65</v>
      </c>
      <c r="C25" s="213">
        <v>0</v>
      </c>
      <c r="D25" s="213">
        <v>0</v>
      </c>
      <c r="E25" s="213">
        <v>0</v>
      </c>
      <c r="F25" s="213">
        <v>0</v>
      </c>
      <c r="G25" s="213">
        <f t="shared" si="0"/>
        <v>0</v>
      </c>
    </row>
    <row r="26" spans="1:7" ht="12.75">
      <c r="A26" s="211"/>
      <c r="B26" s="223" t="s">
        <v>237</v>
      </c>
      <c r="C26" s="213">
        <v>0</v>
      </c>
      <c r="D26" s="213">
        <v>0</v>
      </c>
      <c r="E26" s="213">
        <v>0</v>
      </c>
      <c r="F26" s="213">
        <v>0</v>
      </c>
      <c r="G26" s="213">
        <f t="shared" si="0"/>
        <v>0</v>
      </c>
    </row>
    <row r="27" spans="1:7" ht="25.5">
      <c r="A27" s="211"/>
      <c r="B27" s="212" t="s">
        <v>147</v>
      </c>
      <c r="C27" s="213">
        <v>0</v>
      </c>
      <c r="D27" s="213">
        <v>0</v>
      </c>
      <c r="E27" s="213">
        <v>0</v>
      </c>
      <c r="F27" s="213">
        <v>0</v>
      </c>
      <c r="G27" s="213">
        <f t="shared" si="0"/>
        <v>0</v>
      </c>
    </row>
    <row r="28" spans="1:7" ht="27">
      <c r="A28" s="224" t="s">
        <v>188</v>
      </c>
      <c r="B28" s="221" t="s">
        <v>492</v>
      </c>
      <c r="C28" s="222">
        <f>SUM(C23:C27)</f>
        <v>0</v>
      </c>
      <c r="D28" s="222">
        <f>SUM(D23:D27)</f>
        <v>0</v>
      </c>
      <c r="E28" s="222">
        <f>SUM(E23:E27)</f>
        <v>0</v>
      </c>
      <c r="F28" s="222">
        <f>SUM(F23:F27)</f>
        <v>0</v>
      </c>
      <c r="G28" s="213">
        <f t="shared" si="0"/>
        <v>0</v>
      </c>
    </row>
    <row r="29" spans="1:7" ht="15.75">
      <c r="A29" s="225"/>
      <c r="B29" s="226" t="s">
        <v>493</v>
      </c>
      <c r="C29" s="227">
        <f>SUM(C22,C28)</f>
        <v>571</v>
      </c>
      <c r="D29" s="227">
        <f>SUM(D22,D28)</f>
        <v>1677</v>
      </c>
      <c r="E29" s="227">
        <f>SUM(E22,E28)</f>
        <v>1865</v>
      </c>
      <c r="F29" s="227">
        <f>SUM(F22,F28)</f>
        <v>0</v>
      </c>
      <c r="G29" s="227">
        <f t="shared" si="0"/>
        <v>1865</v>
      </c>
    </row>
    <row r="30" spans="1:7" ht="12.75">
      <c r="A30" s="228"/>
      <c r="B30" s="229" t="s">
        <v>228</v>
      </c>
      <c r="C30" s="213"/>
      <c r="D30" s="213"/>
      <c r="E30" s="213"/>
      <c r="F30" s="213"/>
      <c r="G30" s="213"/>
    </row>
    <row r="31" spans="1:7" ht="12.75">
      <c r="A31" s="211" t="s">
        <v>189</v>
      </c>
      <c r="B31" s="230" t="s">
        <v>143</v>
      </c>
      <c r="C31" s="213">
        <v>0</v>
      </c>
      <c r="D31" s="213">
        <v>257</v>
      </c>
      <c r="E31" s="213">
        <v>257</v>
      </c>
      <c r="F31" s="213">
        <v>0</v>
      </c>
      <c r="G31" s="213">
        <f t="shared" si="0"/>
        <v>257</v>
      </c>
    </row>
    <row r="32" spans="1:7" ht="12.75">
      <c r="A32" s="211" t="s">
        <v>190</v>
      </c>
      <c r="B32" s="230" t="s">
        <v>144</v>
      </c>
      <c r="C32" s="213">
        <v>571</v>
      </c>
      <c r="D32" s="213">
        <v>571</v>
      </c>
      <c r="E32" s="213">
        <v>759</v>
      </c>
      <c r="F32" s="213">
        <v>0</v>
      </c>
      <c r="G32" s="213">
        <f t="shared" si="0"/>
        <v>759</v>
      </c>
    </row>
    <row r="33" spans="1:7" ht="12.75">
      <c r="A33" s="211" t="s">
        <v>191</v>
      </c>
      <c r="B33" s="230" t="s">
        <v>30</v>
      </c>
      <c r="C33" s="213">
        <v>0</v>
      </c>
      <c r="D33" s="213">
        <v>0</v>
      </c>
      <c r="E33" s="213">
        <v>0</v>
      </c>
      <c r="F33" s="213">
        <v>0</v>
      </c>
      <c r="G33" s="213">
        <f t="shared" si="0"/>
        <v>0</v>
      </c>
    </row>
    <row r="34" spans="1:7" ht="12.75">
      <c r="A34" s="211" t="s">
        <v>324</v>
      </c>
      <c r="B34" s="230" t="s">
        <v>494</v>
      </c>
      <c r="C34" s="213">
        <v>0</v>
      </c>
      <c r="D34" s="213">
        <v>0</v>
      </c>
      <c r="E34" s="213">
        <v>0</v>
      </c>
      <c r="F34" s="213">
        <v>0</v>
      </c>
      <c r="G34" s="213">
        <f t="shared" si="0"/>
        <v>0</v>
      </c>
    </row>
    <row r="35" spans="1:7" ht="25.5">
      <c r="A35" s="211" t="s">
        <v>325</v>
      </c>
      <c r="B35" s="231" t="s">
        <v>44</v>
      </c>
      <c r="C35" s="213">
        <v>0</v>
      </c>
      <c r="D35" s="213">
        <v>0</v>
      </c>
      <c r="E35" s="213">
        <v>0</v>
      </c>
      <c r="F35" s="213">
        <v>0</v>
      </c>
      <c r="G35" s="213">
        <f t="shared" si="0"/>
        <v>0</v>
      </c>
    </row>
    <row r="36" spans="1:7" ht="12.75">
      <c r="A36" s="211" t="s">
        <v>327</v>
      </c>
      <c r="B36" s="230" t="s">
        <v>63</v>
      </c>
      <c r="C36" s="213">
        <v>0</v>
      </c>
      <c r="D36" s="213">
        <v>0</v>
      </c>
      <c r="E36" s="213">
        <v>0</v>
      </c>
      <c r="F36" s="213">
        <v>0</v>
      </c>
      <c r="G36" s="213">
        <f t="shared" si="0"/>
        <v>0</v>
      </c>
    </row>
    <row r="37" spans="1:7" ht="25.5">
      <c r="A37" s="211" t="s">
        <v>331</v>
      </c>
      <c r="B37" s="231" t="s">
        <v>481</v>
      </c>
      <c r="C37" s="213">
        <v>0</v>
      </c>
      <c r="D37" s="213">
        <v>0</v>
      </c>
      <c r="E37" s="213">
        <v>0</v>
      </c>
      <c r="F37" s="213">
        <v>0</v>
      </c>
      <c r="G37" s="213">
        <f t="shared" si="0"/>
        <v>0</v>
      </c>
    </row>
    <row r="38" spans="1:7" ht="12.75">
      <c r="A38" s="211" t="s">
        <v>333</v>
      </c>
      <c r="B38" s="230" t="s">
        <v>304</v>
      </c>
      <c r="C38" s="213">
        <v>0</v>
      </c>
      <c r="D38" s="213">
        <v>849</v>
      </c>
      <c r="E38" s="213">
        <v>849</v>
      </c>
      <c r="F38" s="213">
        <v>0</v>
      </c>
      <c r="G38" s="213">
        <f t="shared" si="0"/>
        <v>849</v>
      </c>
    </row>
    <row r="39" spans="1:7" ht="15.75">
      <c r="A39" s="232"/>
      <c r="B39" s="233" t="s">
        <v>657</v>
      </c>
      <c r="C39" s="227">
        <f>SUM(C31:C38)</f>
        <v>571</v>
      </c>
      <c r="D39" s="227">
        <f>SUM(D31:D38)</f>
        <v>1677</v>
      </c>
      <c r="E39" s="227">
        <f>SUM(E31:E38)</f>
        <v>1865</v>
      </c>
      <c r="F39" s="227">
        <f>SUM(F31:F38)</f>
        <v>0</v>
      </c>
      <c r="G39" s="227">
        <f t="shared" si="0"/>
        <v>1865</v>
      </c>
    </row>
    <row r="40" spans="1:7" ht="15.75">
      <c r="A40" s="234"/>
      <c r="B40" s="234"/>
      <c r="C40" s="235"/>
      <c r="D40" s="235"/>
      <c r="E40" s="235"/>
      <c r="F40" s="235"/>
      <c r="G40" s="235"/>
    </row>
  </sheetData>
  <sheetProtection/>
  <mergeCells count="4">
    <mergeCell ref="A1:G1"/>
    <mergeCell ref="A3:G3"/>
    <mergeCell ref="A4:G4"/>
    <mergeCell ref="A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00390625" style="200" customWidth="1"/>
    <col min="2" max="2" width="38.421875" style="200" customWidth="1"/>
    <col min="3" max="3" width="9.421875" style="200" customWidth="1"/>
    <col min="4" max="4" width="11.57421875" style="200" customWidth="1"/>
    <col min="5" max="5" width="11.421875" style="200" customWidth="1"/>
    <col min="6" max="6" width="8.57421875" style="200" customWidth="1"/>
    <col min="7" max="7" width="12.140625" style="200" customWidth="1"/>
    <col min="8" max="16384" width="9.140625" style="200" customWidth="1"/>
  </cols>
  <sheetData>
    <row r="1" spans="1:7" ht="12.75">
      <c r="A1" s="873">
        <v>7</v>
      </c>
      <c r="B1" s="873"/>
      <c r="C1" s="873"/>
      <c r="D1" s="873"/>
      <c r="E1" s="873"/>
      <c r="F1" s="873"/>
      <c r="G1" s="873"/>
    </row>
    <row r="3" spans="1:7" s="201" customFormat="1" ht="16.5">
      <c r="A3" s="874" t="s">
        <v>277</v>
      </c>
      <c r="B3" s="874"/>
      <c r="C3" s="874"/>
      <c r="D3" s="874"/>
      <c r="E3" s="874"/>
      <c r="F3" s="874"/>
      <c r="G3" s="874"/>
    </row>
    <row r="4" spans="1:7" s="201" customFormat="1" ht="17.25">
      <c r="A4" s="875" t="s">
        <v>145</v>
      </c>
      <c r="B4" s="875"/>
      <c r="C4" s="875"/>
      <c r="D4" s="875"/>
      <c r="E4" s="875"/>
      <c r="F4" s="875"/>
      <c r="G4" s="875"/>
    </row>
    <row r="5" spans="1:7" s="201" customFormat="1" ht="16.5" customHeight="1">
      <c r="A5" s="876" t="s">
        <v>567</v>
      </c>
      <c r="B5" s="876"/>
      <c r="C5" s="876"/>
      <c r="D5" s="876"/>
      <c r="E5" s="876"/>
      <c r="F5" s="876"/>
      <c r="G5" s="876"/>
    </row>
    <row r="6" spans="1:7" s="201" customFormat="1" ht="16.5">
      <c r="A6" s="203"/>
      <c r="B6" s="203"/>
      <c r="C6" s="204"/>
      <c r="D6" s="204"/>
      <c r="E6" s="204"/>
      <c r="F6" s="204"/>
      <c r="G6" s="204"/>
    </row>
    <row r="7" spans="1:7" ht="18.75">
      <c r="A7" s="205"/>
      <c r="B7" s="205"/>
      <c r="C7" s="206"/>
      <c r="D7" s="206"/>
      <c r="E7" s="206"/>
      <c r="F7" s="206"/>
      <c r="G7" s="206"/>
    </row>
    <row r="8" spans="1:7" ht="15.75">
      <c r="A8" s="207" t="s">
        <v>500</v>
      </c>
      <c r="C8" s="114"/>
      <c r="D8" s="114"/>
      <c r="E8" s="114"/>
      <c r="F8" s="7"/>
      <c r="G8" s="684" t="s">
        <v>377</v>
      </c>
    </row>
    <row r="9" spans="1:7" s="676" customFormat="1" ht="40.5" customHeight="1">
      <c r="A9" s="674" t="s">
        <v>446</v>
      </c>
      <c r="B9" s="675" t="s">
        <v>378</v>
      </c>
      <c r="C9" s="557" t="s">
        <v>297</v>
      </c>
      <c r="D9" s="558" t="s">
        <v>570</v>
      </c>
      <c r="E9" s="558" t="s">
        <v>636</v>
      </c>
      <c r="F9" s="555" t="s">
        <v>572</v>
      </c>
      <c r="G9" s="558" t="s">
        <v>717</v>
      </c>
    </row>
    <row r="10" spans="1:7" s="676" customFormat="1" ht="12">
      <c r="A10" s="677" t="s">
        <v>208</v>
      </c>
      <c r="B10" s="678" t="s">
        <v>209</v>
      </c>
      <c r="C10" s="702" t="s">
        <v>210</v>
      </c>
      <c r="D10" s="702" t="s">
        <v>182</v>
      </c>
      <c r="E10" s="702" t="s">
        <v>183</v>
      </c>
      <c r="F10" s="702" t="s">
        <v>184</v>
      </c>
      <c r="G10" s="702" t="s">
        <v>185</v>
      </c>
    </row>
    <row r="11" spans="1:7" ht="12.75">
      <c r="A11" s="208"/>
      <c r="B11" s="209" t="s">
        <v>166</v>
      </c>
      <c r="C11" s="210"/>
      <c r="D11" s="210"/>
      <c r="E11" s="210"/>
      <c r="F11" s="210"/>
      <c r="G11" s="210"/>
    </row>
    <row r="12" spans="1:7" ht="12.75">
      <c r="A12" s="211" t="s">
        <v>208</v>
      </c>
      <c r="B12" s="212" t="s">
        <v>167</v>
      </c>
      <c r="C12" s="213">
        <v>0</v>
      </c>
      <c r="D12" s="213">
        <v>0</v>
      </c>
      <c r="E12" s="213">
        <v>0</v>
      </c>
      <c r="F12" s="213">
        <v>0</v>
      </c>
      <c r="G12" s="213">
        <f>SUM(E12:F12)</f>
        <v>0</v>
      </c>
    </row>
    <row r="13" spans="1:7" ht="12.75">
      <c r="A13" s="214" t="s">
        <v>209</v>
      </c>
      <c r="B13" s="215" t="s">
        <v>168</v>
      </c>
      <c r="C13" s="213">
        <f>SUM(C14:C16)</f>
        <v>0</v>
      </c>
      <c r="D13" s="213">
        <f>SUM(D14:D16)</f>
        <v>0</v>
      </c>
      <c r="E13" s="213">
        <f>SUM(E14:E16)</f>
        <v>0</v>
      </c>
      <c r="F13" s="213">
        <f>SUM(F14:F16)</f>
        <v>0</v>
      </c>
      <c r="G13" s="213">
        <f aca="true" t="shared" si="0" ref="G13:G39">SUM(E13:F13)</f>
        <v>0</v>
      </c>
    </row>
    <row r="14" spans="1:7" ht="12.75">
      <c r="A14" s="214"/>
      <c r="B14" s="216" t="s">
        <v>308</v>
      </c>
      <c r="C14" s="213">
        <v>0</v>
      </c>
      <c r="D14" s="213">
        <v>0</v>
      </c>
      <c r="E14" s="213">
        <v>0</v>
      </c>
      <c r="F14" s="213">
        <v>0</v>
      </c>
      <c r="G14" s="213">
        <f t="shared" si="0"/>
        <v>0</v>
      </c>
    </row>
    <row r="15" spans="1:7" ht="12.75">
      <c r="A15" s="214"/>
      <c r="B15" s="216" t="s">
        <v>67</v>
      </c>
      <c r="C15" s="213">
        <v>0</v>
      </c>
      <c r="D15" s="213">
        <v>0</v>
      </c>
      <c r="E15" s="213">
        <v>0</v>
      </c>
      <c r="F15" s="213">
        <v>0</v>
      </c>
      <c r="G15" s="213">
        <f t="shared" si="0"/>
        <v>0</v>
      </c>
    </row>
    <row r="16" spans="1:7" ht="12.75">
      <c r="A16" s="214"/>
      <c r="B16" s="216" t="s">
        <v>68</v>
      </c>
      <c r="C16" s="213">
        <v>0</v>
      </c>
      <c r="D16" s="213">
        <v>0</v>
      </c>
      <c r="E16" s="213">
        <v>0</v>
      </c>
      <c r="F16" s="213">
        <v>0</v>
      </c>
      <c r="G16" s="213">
        <f t="shared" si="0"/>
        <v>0</v>
      </c>
    </row>
    <row r="17" spans="1:10" ht="12.75">
      <c r="A17" s="214" t="s">
        <v>210</v>
      </c>
      <c r="B17" s="215" t="s">
        <v>169</v>
      </c>
      <c r="C17" s="213">
        <v>571</v>
      </c>
      <c r="D17" s="213">
        <v>1279</v>
      </c>
      <c r="E17" s="213">
        <v>1449</v>
      </c>
      <c r="F17" s="213">
        <v>-50</v>
      </c>
      <c r="G17" s="213">
        <f t="shared" si="0"/>
        <v>1399</v>
      </c>
      <c r="J17" s="267"/>
    </row>
    <row r="18" spans="1:7" ht="25.5">
      <c r="A18" s="211" t="s">
        <v>182</v>
      </c>
      <c r="B18" s="217" t="s">
        <v>292</v>
      </c>
      <c r="C18" s="213">
        <f>SUM(C19:C20)</f>
        <v>0</v>
      </c>
      <c r="D18" s="213">
        <v>0</v>
      </c>
      <c r="E18" s="213">
        <v>0</v>
      </c>
      <c r="F18" s="213">
        <f>SUM(F19:F20)</f>
        <v>50</v>
      </c>
      <c r="G18" s="213">
        <f t="shared" si="0"/>
        <v>50</v>
      </c>
    </row>
    <row r="19" spans="1:7" ht="12.75">
      <c r="A19" s="211"/>
      <c r="B19" s="218" t="s">
        <v>235</v>
      </c>
      <c r="C19" s="213">
        <v>0</v>
      </c>
      <c r="D19" s="213">
        <v>0</v>
      </c>
      <c r="E19" s="213">
        <v>0</v>
      </c>
      <c r="F19" s="213">
        <v>50</v>
      </c>
      <c r="G19" s="213">
        <f t="shared" si="0"/>
        <v>50</v>
      </c>
    </row>
    <row r="20" spans="1:7" ht="25.5">
      <c r="A20" s="211"/>
      <c r="B20" s="218" t="s">
        <v>280</v>
      </c>
      <c r="C20" s="213">
        <v>0</v>
      </c>
      <c r="D20" s="213">
        <v>0</v>
      </c>
      <c r="E20" s="213">
        <v>0</v>
      </c>
      <c r="F20" s="213">
        <v>0</v>
      </c>
      <c r="G20" s="213">
        <f t="shared" si="0"/>
        <v>0</v>
      </c>
    </row>
    <row r="21" spans="1:7" ht="12.75">
      <c r="A21" s="219" t="s">
        <v>183</v>
      </c>
      <c r="B21" s="212" t="s">
        <v>250</v>
      </c>
      <c r="C21" s="213">
        <v>0</v>
      </c>
      <c r="D21" s="213">
        <v>0</v>
      </c>
      <c r="E21" s="213">
        <v>0</v>
      </c>
      <c r="F21" s="213">
        <v>0</v>
      </c>
      <c r="G21" s="213">
        <f t="shared" si="0"/>
        <v>0</v>
      </c>
    </row>
    <row r="22" spans="1:7" ht="13.5">
      <c r="A22" s="220" t="s">
        <v>184</v>
      </c>
      <c r="B22" s="221" t="s">
        <v>491</v>
      </c>
      <c r="C22" s="222">
        <f>SUM(C12,C13,C17,C18,C21)</f>
        <v>571</v>
      </c>
      <c r="D22" s="222">
        <f>SUM(D12,D13,D17,D18,D21)</f>
        <v>1279</v>
      </c>
      <c r="E22" s="222">
        <f>SUM(E12,E13,E17,E18,E21)</f>
        <v>1449</v>
      </c>
      <c r="F22" s="222">
        <f>SUM(F12,F13,F17,F18,F21)</f>
        <v>0</v>
      </c>
      <c r="G22" s="222">
        <f t="shared" si="0"/>
        <v>1449</v>
      </c>
    </row>
    <row r="23" spans="1:7" ht="12.75">
      <c r="A23" s="219" t="s">
        <v>185</v>
      </c>
      <c r="B23" s="217" t="s">
        <v>251</v>
      </c>
      <c r="C23" s="213">
        <v>0</v>
      </c>
      <c r="D23" s="213">
        <v>0</v>
      </c>
      <c r="E23" s="213">
        <v>0</v>
      </c>
      <c r="F23" s="213">
        <v>0</v>
      </c>
      <c r="G23" s="213">
        <f t="shared" si="0"/>
        <v>0</v>
      </c>
    </row>
    <row r="24" spans="1:7" ht="12.75">
      <c r="A24" s="211" t="s">
        <v>186</v>
      </c>
      <c r="B24" s="212" t="s">
        <v>72</v>
      </c>
      <c r="C24" s="213">
        <v>0</v>
      </c>
      <c r="D24" s="213">
        <v>0</v>
      </c>
      <c r="E24" s="213">
        <v>0</v>
      </c>
      <c r="F24" s="213">
        <v>0</v>
      </c>
      <c r="G24" s="213">
        <f t="shared" si="0"/>
        <v>0</v>
      </c>
    </row>
    <row r="25" spans="1:7" ht="25.5">
      <c r="A25" s="211" t="s">
        <v>187</v>
      </c>
      <c r="B25" s="212" t="s">
        <v>65</v>
      </c>
      <c r="C25" s="213">
        <v>0</v>
      </c>
      <c r="D25" s="213">
        <v>0</v>
      </c>
      <c r="E25" s="213">
        <v>0</v>
      </c>
      <c r="F25" s="213">
        <v>0</v>
      </c>
      <c r="G25" s="213">
        <f t="shared" si="0"/>
        <v>0</v>
      </c>
    </row>
    <row r="26" spans="1:7" ht="12.75">
      <c r="A26" s="211"/>
      <c r="B26" s="223" t="s">
        <v>237</v>
      </c>
      <c r="C26" s="213">
        <v>0</v>
      </c>
      <c r="D26" s="213">
        <v>0</v>
      </c>
      <c r="E26" s="213">
        <v>0</v>
      </c>
      <c r="F26" s="213">
        <v>0</v>
      </c>
      <c r="G26" s="213">
        <f t="shared" si="0"/>
        <v>0</v>
      </c>
    </row>
    <row r="27" spans="1:7" ht="25.5">
      <c r="A27" s="211"/>
      <c r="B27" s="212" t="s">
        <v>147</v>
      </c>
      <c r="C27" s="213">
        <v>0</v>
      </c>
      <c r="D27" s="213">
        <v>0</v>
      </c>
      <c r="E27" s="213">
        <v>0</v>
      </c>
      <c r="F27" s="213">
        <v>0</v>
      </c>
      <c r="G27" s="213">
        <f t="shared" si="0"/>
        <v>0</v>
      </c>
    </row>
    <row r="28" spans="1:7" ht="27">
      <c r="A28" s="224" t="s">
        <v>188</v>
      </c>
      <c r="B28" s="221" t="s">
        <v>492</v>
      </c>
      <c r="C28" s="222">
        <f>SUM(C23:C27)</f>
        <v>0</v>
      </c>
      <c r="D28" s="222">
        <f>SUM(D23:D27)</f>
        <v>0</v>
      </c>
      <c r="E28" s="222">
        <v>0</v>
      </c>
      <c r="F28" s="222">
        <f>SUM(F23:F27)</f>
        <v>0</v>
      </c>
      <c r="G28" s="213">
        <f t="shared" si="0"/>
        <v>0</v>
      </c>
    </row>
    <row r="29" spans="1:7" ht="15.75">
      <c r="A29" s="225"/>
      <c r="B29" s="226" t="s">
        <v>493</v>
      </c>
      <c r="C29" s="227">
        <f>SUM(C22,C28)</f>
        <v>571</v>
      </c>
      <c r="D29" s="227">
        <f>SUM(D22,D28)</f>
        <v>1279</v>
      </c>
      <c r="E29" s="227">
        <f>SUM(E22,E28)</f>
        <v>1449</v>
      </c>
      <c r="F29" s="227">
        <f>SUM(F22,F28)</f>
        <v>0</v>
      </c>
      <c r="G29" s="227">
        <f t="shared" si="0"/>
        <v>1449</v>
      </c>
    </row>
    <row r="30" spans="1:7" ht="12.75">
      <c r="A30" s="228"/>
      <c r="B30" s="229" t="s">
        <v>228</v>
      </c>
      <c r="C30" s="213"/>
      <c r="D30" s="213"/>
      <c r="E30" s="213"/>
      <c r="F30" s="213"/>
      <c r="G30" s="213"/>
    </row>
    <row r="31" spans="1:7" ht="12.75">
      <c r="A31" s="211" t="s">
        <v>189</v>
      </c>
      <c r="B31" s="230" t="s">
        <v>143</v>
      </c>
      <c r="C31" s="213">
        <v>0</v>
      </c>
      <c r="D31" s="213">
        <v>257</v>
      </c>
      <c r="E31" s="213">
        <v>257</v>
      </c>
      <c r="F31" s="213">
        <v>0</v>
      </c>
      <c r="G31" s="213">
        <f t="shared" si="0"/>
        <v>257</v>
      </c>
    </row>
    <row r="32" spans="1:7" ht="12.75">
      <c r="A32" s="211" t="s">
        <v>190</v>
      </c>
      <c r="B32" s="230" t="s">
        <v>144</v>
      </c>
      <c r="C32" s="213">
        <v>571</v>
      </c>
      <c r="D32" s="213">
        <v>571</v>
      </c>
      <c r="E32" s="213">
        <v>741</v>
      </c>
      <c r="F32" s="213">
        <v>0</v>
      </c>
      <c r="G32" s="213">
        <f t="shared" si="0"/>
        <v>741</v>
      </c>
    </row>
    <row r="33" spans="1:7" ht="12.75">
      <c r="A33" s="211" t="s">
        <v>191</v>
      </c>
      <c r="B33" s="230" t="s">
        <v>30</v>
      </c>
      <c r="C33" s="213">
        <v>0</v>
      </c>
      <c r="D33" s="213">
        <v>0</v>
      </c>
      <c r="E33" s="213">
        <v>0</v>
      </c>
      <c r="F33" s="213">
        <v>0</v>
      </c>
      <c r="G33" s="213">
        <f t="shared" si="0"/>
        <v>0</v>
      </c>
    </row>
    <row r="34" spans="1:7" ht="12.75">
      <c r="A34" s="211" t="s">
        <v>324</v>
      </c>
      <c r="B34" s="230" t="s">
        <v>494</v>
      </c>
      <c r="C34" s="213">
        <v>0</v>
      </c>
      <c r="D34" s="213">
        <v>0</v>
      </c>
      <c r="E34" s="213">
        <v>0</v>
      </c>
      <c r="F34" s="213">
        <v>0</v>
      </c>
      <c r="G34" s="213">
        <f t="shared" si="0"/>
        <v>0</v>
      </c>
    </row>
    <row r="35" spans="1:7" ht="25.5">
      <c r="A35" s="211" t="s">
        <v>325</v>
      </c>
      <c r="B35" s="231" t="s">
        <v>44</v>
      </c>
      <c r="C35" s="213">
        <v>0</v>
      </c>
      <c r="D35" s="213">
        <v>0</v>
      </c>
      <c r="E35" s="213">
        <v>0</v>
      </c>
      <c r="F35" s="213">
        <v>0</v>
      </c>
      <c r="G35" s="213">
        <f t="shared" si="0"/>
        <v>0</v>
      </c>
    </row>
    <row r="36" spans="1:7" ht="12.75">
      <c r="A36" s="211" t="s">
        <v>327</v>
      </c>
      <c r="B36" s="230" t="s">
        <v>63</v>
      </c>
      <c r="C36" s="213">
        <v>0</v>
      </c>
      <c r="D36" s="213">
        <v>0</v>
      </c>
      <c r="E36" s="213">
        <v>0</v>
      </c>
      <c r="F36" s="213">
        <v>0</v>
      </c>
      <c r="G36" s="213">
        <f t="shared" si="0"/>
        <v>0</v>
      </c>
    </row>
    <row r="37" spans="1:7" ht="25.5">
      <c r="A37" s="211" t="s">
        <v>331</v>
      </c>
      <c r="B37" s="231" t="s">
        <v>481</v>
      </c>
      <c r="C37" s="213">
        <v>0</v>
      </c>
      <c r="D37" s="213">
        <v>0</v>
      </c>
      <c r="E37" s="213">
        <v>0</v>
      </c>
      <c r="F37" s="213">
        <v>0</v>
      </c>
      <c r="G37" s="213">
        <f t="shared" si="0"/>
        <v>0</v>
      </c>
    </row>
    <row r="38" spans="1:7" ht="12.75">
      <c r="A38" s="211" t="s">
        <v>333</v>
      </c>
      <c r="B38" s="230" t="s">
        <v>304</v>
      </c>
      <c r="C38" s="213">
        <v>0</v>
      </c>
      <c r="D38" s="213">
        <v>451</v>
      </c>
      <c r="E38" s="213">
        <v>451</v>
      </c>
      <c r="F38" s="213">
        <v>0</v>
      </c>
      <c r="G38" s="213">
        <f t="shared" si="0"/>
        <v>451</v>
      </c>
    </row>
    <row r="39" spans="1:7" ht="15.75">
      <c r="A39" s="232"/>
      <c r="B39" s="233" t="s">
        <v>657</v>
      </c>
      <c r="C39" s="227">
        <f>SUM(C31:C38)</f>
        <v>571</v>
      </c>
      <c r="D39" s="227">
        <f>SUM(D31:D38)</f>
        <v>1279</v>
      </c>
      <c r="E39" s="227">
        <f>SUM(E31:E38)</f>
        <v>1449</v>
      </c>
      <c r="F39" s="227">
        <f>SUM(F31:F38)</f>
        <v>0</v>
      </c>
      <c r="G39" s="227">
        <f t="shared" si="0"/>
        <v>1449</v>
      </c>
    </row>
    <row r="40" spans="1:7" ht="15.75">
      <c r="A40" s="234"/>
      <c r="B40" s="234"/>
      <c r="C40" s="235"/>
      <c r="D40" s="235"/>
      <c r="E40" s="235"/>
      <c r="F40" s="235"/>
      <c r="G40" s="235"/>
    </row>
  </sheetData>
  <sheetProtection/>
  <mergeCells count="4">
    <mergeCell ref="A1:G1"/>
    <mergeCell ref="A3:G3"/>
    <mergeCell ref="A4:G4"/>
    <mergeCell ref="A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CE,Normál"4/b.számú melléklet</oddHeader>
    <oddFooter>&amp;L&amp;"Times New Roman CE,Normál"&amp;8&amp;F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93"/>
  <sheetViews>
    <sheetView zoomScalePageLayoutView="0" workbookViewId="0" topLeftCell="A76">
      <selection activeCell="D12" sqref="D12"/>
    </sheetView>
  </sheetViews>
  <sheetFormatPr defaultColWidth="9.140625" defaultRowHeight="12.75"/>
  <cols>
    <col min="1" max="1" width="2.7109375" style="102" customWidth="1"/>
    <col min="2" max="2" width="27.8515625" style="102" customWidth="1"/>
    <col min="3" max="3" width="23.28125" style="131" customWidth="1"/>
    <col min="4" max="4" width="8.00390625" style="102" customWidth="1"/>
    <col min="5" max="5" width="10.7109375" style="102" customWidth="1"/>
    <col min="6" max="6" width="11.140625" style="102" customWidth="1"/>
    <col min="7" max="7" width="6.8515625" style="198" customWidth="1"/>
    <col min="8" max="8" width="10.7109375" style="102" customWidth="1"/>
    <col min="9" max="16384" width="9.140625" style="102" customWidth="1"/>
  </cols>
  <sheetData>
    <row r="3" spans="1:8" ht="15" customHeight="1">
      <c r="A3" s="858" t="s">
        <v>285</v>
      </c>
      <c r="B3" s="858"/>
      <c r="C3" s="858"/>
      <c r="D3" s="858"/>
      <c r="E3" s="858"/>
      <c r="F3" s="858"/>
      <c r="G3" s="858"/>
      <c r="H3" s="858"/>
    </row>
    <row r="4" spans="1:8" ht="15" customHeight="1">
      <c r="A4" s="858" t="s">
        <v>321</v>
      </c>
      <c r="B4" s="858"/>
      <c r="C4" s="858"/>
      <c r="D4" s="858"/>
      <c r="E4" s="858"/>
      <c r="F4" s="858"/>
      <c r="G4" s="858"/>
      <c r="H4" s="858"/>
    </row>
    <row r="5" spans="1:6" ht="15" customHeight="1">
      <c r="A5" s="188"/>
      <c r="B5" s="188"/>
      <c r="C5" s="750"/>
      <c r="D5" s="188"/>
      <c r="E5" s="188"/>
      <c r="F5" s="188"/>
    </row>
    <row r="6" spans="1:6" ht="15" customHeight="1">
      <c r="A6" s="188"/>
      <c r="B6" s="188"/>
      <c r="C6" s="750"/>
      <c r="D6" s="188"/>
      <c r="E6" s="188"/>
      <c r="F6" s="188"/>
    </row>
    <row r="7" spans="3:8" s="554" customFormat="1" ht="11.25">
      <c r="C7" s="570"/>
      <c r="D7" s="561"/>
      <c r="E7" s="561"/>
      <c r="F7" s="561"/>
      <c r="G7" s="270"/>
      <c r="H7" s="716" t="s">
        <v>377</v>
      </c>
    </row>
    <row r="8" spans="1:8" s="554" customFormat="1" ht="39.75" customHeight="1">
      <c r="A8" s="520" t="s">
        <v>215</v>
      </c>
      <c r="B8" s="714" t="s">
        <v>203</v>
      </c>
      <c r="C8" s="751" t="s">
        <v>91</v>
      </c>
      <c r="D8" s="713" t="s">
        <v>297</v>
      </c>
      <c r="E8" s="712" t="s">
        <v>571</v>
      </c>
      <c r="F8" s="712" t="s">
        <v>636</v>
      </c>
      <c r="G8" s="520" t="s">
        <v>572</v>
      </c>
      <c r="H8" s="712" t="s">
        <v>716</v>
      </c>
    </row>
    <row r="9" spans="1:8" s="554" customFormat="1" ht="9.75" customHeight="1">
      <c r="A9" s="717" t="s">
        <v>208</v>
      </c>
      <c r="B9" s="714" t="s">
        <v>209</v>
      </c>
      <c r="C9" s="751" t="s">
        <v>210</v>
      </c>
      <c r="D9" s="715" t="s">
        <v>182</v>
      </c>
      <c r="E9" s="715" t="s">
        <v>183</v>
      </c>
      <c r="F9" s="715" t="s">
        <v>184</v>
      </c>
      <c r="G9" s="715" t="s">
        <v>185</v>
      </c>
      <c r="H9" s="715" t="s">
        <v>186</v>
      </c>
    </row>
    <row r="10" spans="1:8" s="722" customFormat="1" ht="25.5" customHeight="1">
      <c r="A10" s="718" t="s">
        <v>480</v>
      </c>
      <c r="B10" s="719" t="s">
        <v>62</v>
      </c>
      <c r="C10" s="752"/>
      <c r="D10" s="720"/>
      <c r="E10" s="720"/>
      <c r="F10" s="720"/>
      <c r="G10" s="720"/>
      <c r="H10" s="721"/>
    </row>
    <row r="11" spans="1:8" s="722" customFormat="1" ht="12.75" customHeight="1">
      <c r="A11" s="718"/>
      <c r="B11" s="723" t="s">
        <v>269</v>
      </c>
      <c r="C11" s="724"/>
      <c r="D11" s="720"/>
      <c r="E11" s="720"/>
      <c r="F11" s="720"/>
      <c r="G11" s="720"/>
      <c r="H11" s="721"/>
    </row>
    <row r="12" spans="1:8" s="554" customFormat="1" ht="22.5">
      <c r="A12" s="725" t="s">
        <v>208</v>
      </c>
      <c r="B12" s="726" t="s">
        <v>10</v>
      </c>
      <c r="C12" s="727" t="s">
        <v>118</v>
      </c>
      <c r="D12" s="728">
        <v>117567</v>
      </c>
      <c r="E12" s="728">
        <v>117567</v>
      </c>
      <c r="F12" s="728">
        <v>117567</v>
      </c>
      <c r="G12" s="728">
        <v>0</v>
      </c>
      <c r="H12" s="728">
        <f>SUM(F12:G12)</f>
        <v>117567</v>
      </c>
    </row>
    <row r="13" spans="1:8" s="554" customFormat="1" ht="22.5">
      <c r="A13" s="725" t="s">
        <v>209</v>
      </c>
      <c r="B13" s="726" t="s">
        <v>10</v>
      </c>
      <c r="C13" s="727" t="s">
        <v>31</v>
      </c>
      <c r="D13" s="728">
        <v>13270</v>
      </c>
      <c r="E13" s="728">
        <v>13270</v>
      </c>
      <c r="F13" s="728">
        <v>13270</v>
      </c>
      <c r="G13" s="728">
        <v>-327</v>
      </c>
      <c r="H13" s="728">
        <f aca="true" t="shared" si="0" ref="H13:H28">SUM(F13:G13)</f>
        <v>12943</v>
      </c>
    </row>
    <row r="14" spans="1:8" s="554" customFormat="1" ht="22.5">
      <c r="A14" s="725" t="s">
        <v>210</v>
      </c>
      <c r="B14" s="726" t="s">
        <v>17</v>
      </c>
      <c r="C14" s="727" t="s">
        <v>385</v>
      </c>
      <c r="D14" s="728">
        <v>8000</v>
      </c>
      <c r="E14" s="728">
        <v>8000</v>
      </c>
      <c r="F14" s="728">
        <v>8000</v>
      </c>
      <c r="G14" s="728">
        <v>0</v>
      </c>
      <c r="H14" s="728">
        <f t="shared" si="0"/>
        <v>8000</v>
      </c>
    </row>
    <row r="15" spans="1:8" s="554" customFormat="1" ht="11.25">
      <c r="A15" s="725" t="s">
        <v>182</v>
      </c>
      <c r="B15" s="726" t="s">
        <v>17</v>
      </c>
      <c r="C15" s="727" t="s">
        <v>238</v>
      </c>
      <c r="D15" s="728">
        <v>8040</v>
      </c>
      <c r="E15" s="728">
        <v>8040</v>
      </c>
      <c r="F15" s="728">
        <v>8040</v>
      </c>
      <c r="G15" s="728">
        <v>0</v>
      </c>
      <c r="H15" s="728">
        <f t="shared" si="0"/>
        <v>8040</v>
      </c>
    </row>
    <row r="16" spans="1:8" s="554" customFormat="1" ht="22.5">
      <c r="A16" s="725" t="s">
        <v>183</v>
      </c>
      <c r="B16" s="729" t="s">
        <v>530</v>
      </c>
      <c r="C16" s="727" t="s">
        <v>531</v>
      </c>
      <c r="D16" s="728">
        <v>0</v>
      </c>
      <c r="E16" s="728">
        <v>1502</v>
      </c>
      <c r="F16" s="728">
        <v>2272</v>
      </c>
      <c r="G16" s="728">
        <v>0</v>
      </c>
      <c r="H16" s="728">
        <f t="shared" si="0"/>
        <v>2272</v>
      </c>
    </row>
    <row r="17" spans="1:8" s="554" customFormat="1" ht="11.25">
      <c r="A17" s="725" t="s">
        <v>184</v>
      </c>
      <c r="B17" s="726" t="s">
        <v>532</v>
      </c>
      <c r="C17" s="727" t="s">
        <v>533</v>
      </c>
      <c r="D17" s="728">
        <v>0</v>
      </c>
      <c r="E17" s="728">
        <v>941</v>
      </c>
      <c r="F17" s="728">
        <v>1368</v>
      </c>
      <c r="G17" s="728">
        <v>826</v>
      </c>
      <c r="H17" s="728">
        <f t="shared" si="0"/>
        <v>2194</v>
      </c>
    </row>
    <row r="18" spans="1:8" s="554" customFormat="1" ht="11.25">
      <c r="A18" s="725" t="s">
        <v>185</v>
      </c>
      <c r="B18" s="726" t="s">
        <v>534</v>
      </c>
      <c r="C18" s="727" t="s">
        <v>535</v>
      </c>
      <c r="D18" s="728">
        <v>0</v>
      </c>
      <c r="E18" s="728">
        <v>5935</v>
      </c>
      <c r="F18" s="728">
        <v>5935</v>
      </c>
      <c r="G18" s="728">
        <v>3604</v>
      </c>
      <c r="H18" s="728">
        <f t="shared" si="0"/>
        <v>9539</v>
      </c>
    </row>
    <row r="19" spans="1:8" s="554" customFormat="1" ht="33.75">
      <c r="A19" s="725" t="s">
        <v>186</v>
      </c>
      <c r="B19" s="730" t="s">
        <v>17</v>
      </c>
      <c r="C19" s="727" t="s">
        <v>536</v>
      </c>
      <c r="D19" s="728">
        <v>0</v>
      </c>
      <c r="E19" s="728">
        <v>660</v>
      </c>
      <c r="F19" s="728">
        <v>1280</v>
      </c>
      <c r="G19" s="728">
        <v>0</v>
      </c>
      <c r="H19" s="728">
        <f t="shared" si="0"/>
        <v>1280</v>
      </c>
    </row>
    <row r="20" spans="1:8" s="554" customFormat="1" ht="22.5">
      <c r="A20" s="725" t="s">
        <v>187</v>
      </c>
      <c r="B20" s="730" t="s">
        <v>568</v>
      </c>
      <c r="C20" s="727" t="s">
        <v>569</v>
      </c>
      <c r="D20" s="728">
        <v>0</v>
      </c>
      <c r="E20" s="728">
        <v>520</v>
      </c>
      <c r="F20" s="728">
        <v>619</v>
      </c>
      <c r="G20" s="728">
        <v>0</v>
      </c>
      <c r="H20" s="728">
        <f t="shared" si="0"/>
        <v>619</v>
      </c>
    </row>
    <row r="21" spans="1:8" s="554" customFormat="1" ht="11.25">
      <c r="A21" s="725" t="s">
        <v>188</v>
      </c>
      <c r="B21" s="730" t="s">
        <v>10</v>
      </c>
      <c r="C21" s="727" t="s">
        <v>537</v>
      </c>
      <c r="D21" s="728">
        <v>0</v>
      </c>
      <c r="E21" s="728">
        <v>1000</v>
      </c>
      <c r="F21" s="728">
        <v>1000</v>
      </c>
      <c r="G21" s="728">
        <v>0</v>
      </c>
      <c r="H21" s="728">
        <f t="shared" si="0"/>
        <v>1000</v>
      </c>
    </row>
    <row r="22" spans="1:8" s="554" customFormat="1" ht="22.5">
      <c r="A22" s="725" t="s">
        <v>189</v>
      </c>
      <c r="B22" s="730" t="s">
        <v>539</v>
      </c>
      <c r="C22" s="727" t="s">
        <v>528</v>
      </c>
      <c r="D22" s="728">
        <v>0</v>
      </c>
      <c r="E22" s="728">
        <v>163300</v>
      </c>
      <c r="F22" s="728">
        <v>163300</v>
      </c>
      <c r="G22" s="728">
        <v>0</v>
      </c>
      <c r="H22" s="728">
        <f t="shared" si="0"/>
        <v>163300</v>
      </c>
    </row>
    <row r="23" spans="1:8" s="554" customFormat="1" ht="33.75">
      <c r="A23" s="725" t="s">
        <v>190</v>
      </c>
      <c r="B23" s="730" t="s">
        <v>593</v>
      </c>
      <c r="C23" s="727" t="s">
        <v>594</v>
      </c>
      <c r="D23" s="728">
        <v>0</v>
      </c>
      <c r="E23" s="728">
        <v>0</v>
      </c>
      <c r="F23" s="728">
        <v>53745</v>
      </c>
      <c r="G23" s="728">
        <v>0</v>
      </c>
      <c r="H23" s="728">
        <f t="shared" si="0"/>
        <v>53745</v>
      </c>
    </row>
    <row r="24" spans="1:8" s="554" customFormat="1" ht="11.25">
      <c r="A24" s="725" t="s">
        <v>191</v>
      </c>
      <c r="B24" s="730" t="s">
        <v>10</v>
      </c>
      <c r="C24" s="727" t="s">
        <v>595</v>
      </c>
      <c r="D24" s="728">
        <v>0</v>
      </c>
      <c r="E24" s="728">
        <v>0</v>
      </c>
      <c r="F24" s="728">
        <v>11659</v>
      </c>
      <c r="G24" s="728">
        <v>0</v>
      </c>
      <c r="H24" s="728">
        <f t="shared" si="0"/>
        <v>11659</v>
      </c>
    </row>
    <row r="25" spans="1:8" s="554" customFormat="1" ht="22.5">
      <c r="A25" s="725" t="s">
        <v>324</v>
      </c>
      <c r="B25" s="730" t="s">
        <v>17</v>
      </c>
      <c r="C25" s="727" t="s">
        <v>596</v>
      </c>
      <c r="D25" s="728">
        <v>0</v>
      </c>
      <c r="E25" s="728">
        <v>0</v>
      </c>
      <c r="F25" s="728">
        <v>10196</v>
      </c>
      <c r="G25" s="728">
        <v>0</v>
      </c>
      <c r="H25" s="728">
        <f t="shared" si="0"/>
        <v>10196</v>
      </c>
    </row>
    <row r="26" spans="1:8" s="554" customFormat="1" ht="22.5">
      <c r="A26" s="725" t="s">
        <v>325</v>
      </c>
      <c r="B26" s="731" t="s">
        <v>530</v>
      </c>
      <c r="C26" s="727" t="s">
        <v>279</v>
      </c>
      <c r="D26" s="728">
        <v>0</v>
      </c>
      <c r="E26" s="728">
        <v>0</v>
      </c>
      <c r="F26" s="728">
        <v>1381</v>
      </c>
      <c r="G26" s="728">
        <v>0</v>
      </c>
      <c r="H26" s="728">
        <f t="shared" si="0"/>
        <v>1381</v>
      </c>
    </row>
    <row r="27" spans="1:8" s="554" customFormat="1" ht="22.5">
      <c r="A27" s="725" t="s">
        <v>327</v>
      </c>
      <c r="B27" s="731" t="s">
        <v>638</v>
      </c>
      <c r="C27" s="727" t="s">
        <v>639</v>
      </c>
      <c r="D27" s="728">
        <v>0</v>
      </c>
      <c r="E27" s="728">
        <v>0</v>
      </c>
      <c r="F27" s="728">
        <v>0</v>
      </c>
      <c r="G27" s="728">
        <v>408</v>
      </c>
      <c r="H27" s="728">
        <f t="shared" si="0"/>
        <v>408</v>
      </c>
    </row>
    <row r="28" spans="1:8" s="722" customFormat="1" ht="10.5">
      <c r="A28" s="718"/>
      <c r="B28" s="732" t="s">
        <v>165</v>
      </c>
      <c r="C28" s="733"/>
      <c r="D28" s="720">
        <f>SUM(D12:D27)</f>
        <v>146877</v>
      </c>
      <c r="E28" s="720">
        <f>SUM(E12:E27)</f>
        <v>320735</v>
      </c>
      <c r="F28" s="720">
        <f>SUM(F12:F27)</f>
        <v>399632</v>
      </c>
      <c r="G28" s="720">
        <f>SUM(G12:G27)</f>
        <v>4511</v>
      </c>
      <c r="H28" s="720">
        <f t="shared" si="0"/>
        <v>404143</v>
      </c>
    </row>
    <row r="29" spans="1:8" s="554" customFormat="1" ht="11.25">
      <c r="A29" s="725"/>
      <c r="B29" s="734" t="s">
        <v>473</v>
      </c>
      <c r="C29" s="735"/>
      <c r="D29" s="728"/>
      <c r="E29" s="728"/>
      <c r="F29" s="728"/>
      <c r="G29" s="728"/>
      <c r="H29" s="728"/>
    </row>
    <row r="30" spans="1:8" s="554" customFormat="1" ht="11.25">
      <c r="A30" s="736"/>
      <c r="B30" s="732" t="s">
        <v>170</v>
      </c>
      <c r="C30" s="735"/>
      <c r="D30" s="728"/>
      <c r="E30" s="728"/>
      <c r="F30" s="728"/>
      <c r="G30" s="728"/>
      <c r="H30" s="728"/>
    </row>
    <row r="31" spans="1:8" s="554" customFormat="1" ht="33.75">
      <c r="A31" s="736" t="s">
        <v>331</v>
      </c>
      <c r="B31" s="737" t="s">
        <v>546</v>
      </c>
      <c r="C31" s="735" t="s">
        <v>601</v>
      </c>
      <c r="D31" s="728">
        <v>0</v>
      </c>
      <c r="E31" s="728">
        <v>195</v>
      </c>
      <c r="F31" s="728">
        <v>561</v>
      </c>
      <c r="G31" s="728">
        <v>0</v>
      </c>
      <c r="H31" s="728">
        <f>SUM(F31:G31)</f>
        <v>561</v>
      </c>
    </row>
    <row r="32" spans="1:8" s="554" customFormat="1" ht="22.5">
      <c r="A32" s="736" t="s">
        <v>333</v>
      </c>
      <c r="B32" s="738" t="s">
        <v>547</v>
      </c>
      <c r="C32" s="735" t="s">
        <v>548</v>
      </c>
      <c r="D32" s="728">
        <v>0</v>
      </c>
      <c r="E32" s="728">
        <v>61</v>
      </c>
      <c r="F32" s="728">
        <v>61</v>
      </c>
      <c r="G32" s="728">
        <v>0</v>
      </c>
      <c r="H32" s="728">
        <f>SUM(F32:G32)</f>
        <v>61</v>
      </c>
    </row>
    <row r="33" spans="1:8" s="554" customFormat="1" ht="22.5">
      <c r="A33" s="736" t="s">
        <v>334</v>
      </c>
      <c r="B33" s="738" t="s">
        <v>597</v>
      </c>
      <c r="C33" s="735" t="s">
        <v>598</v>
      </c>
      <c r="D33" s="728">
        <v>0</v>
      </c>
      <c r="E33" s="728">
        <v>0</v>
      </c>
      <c r="F33" s="728">
        <v>250</v>
      </c>
      <c r="G33" s="728">
        <v>0</v>
      </c>
      <c r="H33" s="728">
        <f>SUM(F33:G33)</f>
        <v>250</v>
      </c>
    </row>
    <row r="34" spans="1:8" s="554" customFormat="1" ht="22.5">
      <c r="A34" s="736" t="s">
        <v>336</v>
      </c>
      <c r="B34" s="738" t="s">
        <v>599</v>
      </c>
      <c r="C34" s="735" t="s">
        <v>600</v>
      </c>
      <c r="D34" s="728">
        <v>0</v>
      </c>
      <c r="E34" s="728">
        <v>0</v>
      </c>
      <c r="F34" s="728">
        <v>50</v>
      </c>
      <c r="G34" s="728">
        <v>0</v>
      </c>
      <c r="H34" s="728">
        <f>SUM(F34:G34)</f>
        <v>50</v>
      </c>
    </row>
    <row r="35" spans="1:8" s="722" customFormat="1" ht="10.5">
      <c r="A35" s="739"/>
      <c r="B35" s="732" t="s">
        <v>538</v>
      </c>
      <c r="C35" s="740"/>
      <c r="D35" s="720">
        <f>SUM(D31:D34)</f>
        <v>0</v>
      </c>
      <c r="E35" s="720">
        <f>SUM(E31:E34)</f>
        <v>256</v>
      </c>
      <c r="F35" s="720">
        <f>SUM(F31:F34)</f>
        <v>922</v>
      </c>
      <c r="G35" s="720">
        <f>SUM(G31:G34)</f>
        <v>0</v>
      </c>
      <c r="H35" s="720">
        <f>SUM(F35:G35)</f>
        <v>922</v>
      </c>
    </row>
    <row r="36" spans="1:8" s="722" customFormat="1" ht="10.5">
      <c r="A36" s="739"/>
      <c r="B36" s="732" t="s">
        <v>204</v>
      </c>
      <c r="C36" s="740"/>
      <c r="D36" s="720"/>
      <c r="E36" s="720"/>
      <c r="F36" s="720"/>
      <c r="G36" s="720"/>
      <c r="H36" s="720"/>
    </row>
    <row r="37" spans="1:8" s="554" customFormat="1" ht="11.25">
      <c r="A37" s="736" t="s">
        <v>337</v>
      </c>
      <c r="B37" s="730" t="s">
        <v>10</v>
      </c>
      <c r="C37" s="735" t="s">
        <v>602</v>
      </c>
      <c r="D37" s="728">
        <v>0</v>
      </c>
      <c r="E37" s="728">
        <v>0</v>
      </c>
      <c r="F37" s="728">
        <v>77</v>
      </c>
      <c r="G37" s="728">
        <v>0</v>
      </c>
      <c r="H37" s="728">
        <f>SUM(F37:G37)</f>
        <v>77</v>
      </c>
    </row>
    <row r="38" spans="1:8" s="722" customFormat="1" ht="10.5">
      <c r="A38" s="739"/>
      <c r="B38" s="732" t="s">
        <v>603</v>
      </c>
      <c r="C38" s="740"/>
      <c r="D38" s="720">
        <f>SUM(D37)</f>
        <v>0</v>
      </c>
      <c r="E38" s="720">
        <f>SUM(E37)</f>
        <v>0</v>
      </c>
      <c r="F38" s="720">
        <f>SUM(F37)</f>
        <v>77</v>
      </c>
      <c r="G38" s="720">
        <f>SUM(G37)</f>
        <v>0</v>
      </c>
      <c r="H38" s="720">
        <f>SUM(F38:G38)</f>
        <v>77</v>
      </c>
    </row>
    <row r="39" spans="1:8" s="554" customFormat="1" ht="11.25">
      <c r="A39" s="736"/>
      <c r="B39" s="732" t="s">
        <v>207</v>
      </c>
      <c r="C39" s="735"/>
      <c r="D39" s="728"/>
      <c r="E39" s="728"/>
      <c r="F39" s="728"/>
      <c r="G39" s="728"/>
      <c r="H39" s="728"/>
    </row>
    <row r="40" spans="1:8" s="554" customFormat="1" ht="11.25">
      <c r="A40" s="736" t="s">
        <v>338</v>
      </c>
      <c r="B40" s="730" t="s">
        <v>117</v>
      </c>
      <c r="C40" s="735" t="s">
        <v>16</v>
      </c>
      <c r="D40" s="728">
        <v>769784</v>
      </c>
      <c r="E40" s="728">
        <v>769784</v>
      </c>
      <c r="F40" s="728">
        <v>769784</v>
      </c>
      <c r="G40" s="728">
        <v>0</v>
      </c>
      <c r="H40" s="728">
        <f>SUM(F40:G40)</f>
        <v>769784</v>
      </c>
    </row>
    <row r="41" spans="1:8" s="722" customFormat="1" ht="10.5">
      <c r="A41" s="739"/>
      <c r="B41" s="732" t="s">
        <v>353</v>
      </c>
      <c r="C41" s="740"/>
      <c r="D41" s="720">
        <f>SUM(D40:D40)</f>
        <v>769784</v>
      </c>
      <c r="E41" s="720">
        <f>SUM(E40:E40)</f>
        <v>769784</v>
      </c>
      <c r="F41" s="720">
        <f>SUM(F40:F40)</f>
        <v>769784</v>
      </c>
      <c r="G41" s="720">
        <f>SUM(G40:G40)</f>
        <v>0</v>
      </c>
      <c r="H41" s="720">
        <f>SUM(F41:G41)</f>
        <v>769784</v>
      </c>
    </row>
    <row r="42" spans="1:8" s="722" customFormat="1" ht="10.5">
      <c r="A42" s="739"/>
      <c r="B42" s="734" t="s">
        <v>459</v>
      </c>
      <c r="C42" s="740"/>
      <c r="D42" s="720">
        <f>SUM(D35,D38,D41)</f>
        <v>769784</v>
      </c>
      <c r="E42" s="720">
        <f>SUM(E35,E38,E41)</f>
        <v>770040</v>
      </c>
      <c r="F42" s="720">
        <f>SUM(F35,F38,F41)</f>
        <v>770783</v>
      </c>
      <c r="G42" s="720">
        <f>SUM(G35,G38,G41)</f>
        <v>0</v>
      </c>
      <c r="H42" s="720">
        <f>SUM(F42:G42)</f>
        <v>770783</v>
      </c>
    </row>
    <row r="43" spans="1:8" s="554" customFormat="1" ht="36" customHeight="1">
      <c r="A43" s="725"/>
      <c r="B43" s="741" t="s">
        <v>352</v>
      </c>
      <c r="C43" s="735"/>
      <c r="D43" s="742">
        <f>SUM(D28,D35,D38,D41)</f>
        <v>916661</v>
      </c>
      <c r="E43" s="742">
        <f>SUM(E28,E35,E38,E41)</f>
        <v>1090775</v>
      </c>
      <c r="F43" s="742">
        <f>SUM(F28,F35,F38,F41)</f>
        <v>1170415</v>
      </c>
      <c r="G43" s="742">
        <f>SUM(G28,G35,G38,G41)</f>
        <v>4511</v>
      </c>
      <c r="H43" s="720">
        <f>SUM(F43:G43)</f>
        <v>1174926</v>
      </c>
    </row>
    <row r="44" spans="1:8" s="554" customFormat="1" ht="11.25">
      <c r="A44" s="718" t="s">
        <v>329</v>
      </c>
      <c r="B44" s="743" t="s">
        <v>119</v>
      </c>
      <c r="C44" s="735"/>
      <c r="D44" s="720"/>
      <c r="E44" s="720"/>
      <c r="F44" s="720"/>
      <c r="G44" s="720"/>
      <c r="H44" s="720"/>
    </row>
    <row r="45" spans="1:8" s="554" customFormat="1" ht="11.25">
      <c r="A45" s="736"/>
      <c r="B45" s="744" t="s">
        <v>269</v>
      </c>
      <c r="C45" s="735"/>
      <c r="D45" s="720"/>
      <c r="E45" s="720"/>
      <c r="F45" s="720"/>
      <c r="G45" s="720"/>
      <c r="H45" s="720"/>
    </row>
    <row r="46" spans="1:8" s="554" customFormat="1" ht="11.25">
      <c r="A46" s="736" t="s">
        <v>341</v>
      </c>
      <c r="B46" s="737" t="s">
        <v>540</v>
      </c>
      <c r="C46" s="735" t="s">
        <v>537</v>
      </c>
      <c r="D46" s="728">
        <v>0</v>
      </c>
      <c r="E46" s="728">
        <v>350</v>
      </c>
      <c r="F46" s="728">
        <v>350</v>
      </c>
      <c r="G46" s="728">
        <v>0</v>
      </c>
      <c r="H46" s="728">
        <f>SUM(F46:G46)</f>
        <v>350</v>
      </c>
    </row>
    <row r="47" spans="1:8" s="554" customFormat="1" ht="22.5">
      <c r="A47" s="736" t="s">
        <v>103</v>
      </c>
      <c r="B47" s="737" t="s">
        <v>542</v>
      </c>
      <c r="C47" s="735" t="s">
        <v>604</v>
      </c>
      <c r="D47" s="728">
        <v>0</v>
      </c>
      <c r="E47" s="728">
        <v>0</v>
      </c>
      <c r="F47" s="728">
        <v>28850</v>
      </c>
      <c r="G47" s="728">
        <v>0</v>
      </c>
      <c r="H47" s="728">
        <f>SUM(F47:G47)</f>
        <v>28850</v>
      </c>
    </row>
    <row r="48" spans="1:8" s="722" customFormat="1" ht="10.5">
      <c r="A48" s="739"/>
      <c r="B48" s="744" t="s">
        <v>165</v>
      </c>
      <c r="C48" s="740"/>
      <c r="D48" s="720">
        <f>SUM(D46:D47)</f>
        <v>0</v>
      </c>
      <c r="E48" s="720">
        <f>SUM(E46:E47)</f>
        <v>350</v>
      </c>
      <c r="F48" s="720">
        <f>SUM(F46:F47)</f>
        <v>29200</v>
      </c>
      <c r="G48" s="720">
        <f>SUM(G46:G47)</f>
        <v>0</v>
      </c>
      <c r="H48" s="720">
        <f>SUM(F48:G48)</f>
        <v>29200</v>
      </c>
    </row>
    <row r="49" spans="1:8" s="554" customFormat="1" ht="11.25">
      <c r="A49" s="736"/>
      <c r="B49" s="734" t="s">
        <v>539</v>
      </c>
      <c r="C49" s="735"/>
      <c r="D49" s="720"/>
      <c r="E49" s="720"/>
      <c r="F49" s="720"/>
      <c r="G49" s="720"/>
      <c r="H49" s="720"/>
    </row>
    <row r="50" spans="1:8" s="554" customFormat="1" ht="11.25">
      <c r="A50" s="736"/>
      <c r="B50" s="732" t="s">
        <v>541</v>
      </c>
      <c r="C50" s="735"/>
      <c r="D50" s="720"/>
      <c r="E50" s="720"/>
      <c r="F50" s="720"/>
      <c r="G50" s="720"/>
      <c r="H50" s="720"/>
    </row>
    <row r="51" spans="1:8" s="554" customFormat="1" ht="22.5">
      <c r="A51" s="736" t="s">
        <v>104</v>
      </c>
      <c r="B51" s="737" t="s">
        <v>549</v>
      </c>
      <c r="C51" s="735" t="s">
        <v>555</v>
      </c>
      <c r="D51" s="728">
        <v>0</v>
      </c>
      <c r="E51" s="728">
        <v>1742</v>
      </c>
      <c r="F51" s="728">
        <v>1742</v>
      </c>
      <c r="G51" s="728">
        <v>0</v>
      </c>
      <c r="H51" s="728">
        <f>SUM(F51:G51)</f>
        <v>1742</v>
      </c>
    </row>
    <row r="52" spans="1:8" s="554" customFormat="1" ht="11.25">
      <c r="A52" s="736" t="s">
        <v>106</v>
      </c>
      <c r="B52" s="737" t="s">
        <v>550</v>
      </c>
      <c r="C52" s="735" t="s">
        <v>551</v>
      </c>
      <c r="D52" s="728">
        <v>0</v>
      </c>
      <c r="E52" s="728">
        <v>31</v>
      </c>
      <c r="F52" s="728">
        <v>31</v>
      </c>
      <c r="G52" s="728">
        <v>0</v>
      </c>
      <c r="H52" s="728">
        <f aca="true" t="shared" si="1" ref="H52:H57">SUM(F52:G52)</f>
        <v>31</v>
      </c>
    </row>
    <row r="53" spans="1:8" s="554" customFormat="1" ht="22.5">
      <c r="A53" s="736" t="s">
        <v>108</v>
      </c>
      <c r="B53" s="737" t="s">
        <v>552</v>
      </c>
      <c r="C53" s="735" t="s">
        <v>553</v>
      </c>
      <c r="D53" s="728">
        <v>0</v>
      </c>
      <c r="E53" s="728">
        <v>90</v>
      </c>
      <c r="F53" s="728">
        <v>90</v>
      </c>
      <c r="G53" s="728">
        <v>0</v>
      </c>
      <c r="H53" s="728">
        <f t="shared" si="1"/>
        <v>90</v>
      </c>
    </row>
    <row r="54" spans="1:8" s="554" customFormat="1" ht="37.5" customHeight="1">
      <c r="A54" s="736" t="s">
        <v>369</v>
      </c>
      <c r="B54" s="738" t="s">
        <v>609</v>
      </c>
      <c r="C54" s="735" t="s">
        <v>557</v>
      </c>
      <c r="D54" s="728">
        <v>0</v>
      </c>
      <c r="E54" s="728">
        <v>353</v>
      </c>
      <c r="F54" s="728">
        <v>751</v>
      </c>
      <c r="G54" s="728">
        <v>0</v>
      </c>
      <c r="H54" s="728">
        <f t="shared" si="1"/>
        <v>751</v>
      </c>
    </row>
    <row r="55" spans="1:8" s="554" customFormat="1" ht="22.5">
      <c r="A55" s="736" t="s">
        <v>370</v>
      </c>
      <c r="B55" s="737" t="s">
        <v>605</v>
      </c>
      <c r="C55" s="735" t="s">
        <v>606</v>
      </c>
      <c r="D55" s="728">
        <v>0</v>
      </c>
      <c r="E55" s="728">
        <v>0</v>
      </c>
      <c r="F55" s="728">
        <v>110</v>
      </c>
      <c r="G55" s="728">
        <v>0</v>
      </c>
      <c r="H55" s="728">
        <f t="shared" si="1"/>
        <v>110</v>
      </c>
    </row>
    <row r="56" spans="1:8" s="554" customFormat="1" ht="11.25">
      <c r="A56" s="736" t="s">
        <v>371</v>
      </c>
      <c r="B56" s="737" t="s">
        <v>607</v>
      </c>
      <c r="C56" s="735" t="s">
        <v>608</v>
      </c>
      <c r="D56" s="728">
        <v>0</v>
      </c>
      <c r="E56" s="728">
        <v>0</v>
      </c>
      <c r="F56" s="728">
        <v>33</v>
      </c>
      <c r="G56" s="728">
        <v>0</v>
      </c>
      <c r="H56" s="728">
        <f t="shared" si="1"/>
        <v>33</v>
      </c>
    </row>
    <row r="57" spans="1:8" s="554" customFormat="1" ht="11.25">
      <c r="A57" s="736"/>
      <c r="B57" s="732" t="s">
        <v>538</v>
      </c>
      <c r="C57" s="735"/>
      <c r="D57" s="720">
        <f>SUM(D51:D56)</f>
        <v>0</v>
      </c>
      <c r="E57" s="720">
        <f>SUM(E51:E56)</f>
        <v>2216</v>
      </c>
      <c r="F57" s="720">
        <f>SUM(F51:F56)</f>
        <v>2757</v>
      </c>
      <c r="G57" s="720">
        <f>SUM(G51:G56)</f>
        <v>0</v>
      </c>
      <c r="H57" s="720">
        <f t="shared" si="1"/>
        <v>2757</v>
      </c>
    </row>
    <row r="58" spans="1:8" s="554" customFormat="1" ht="11.25">
      <c r="A58" s="736"/>
      <c r="B58" s="732" t="s">
        <v>204</v>
      </c>
      <c r="C58" s="735"/>
      <c r="D58" s="720"/>
      <c r="E58" s="720"/>
      <c r="F58" s="720"/>
      <c r="G58" s="720"/>
      <c r="H58" s="720"/>
    </row>
    <row r="59" spans="1:8" s="554" customFormat="1" ht="11.25">
      <c r="A59" s="736" t="s">
        <v>372</v>
      </c>
      <c r="B59" s="730" t="s">
        <v>549</v>
      </c>
      <c r="C59" s="735" t="s">
        <v>610</v>
      </c>
      <c r="D59" s="728">
        <v>0</v>
      </c>
      <c r="E59" s="728">
        <v>0</v>
      </c>
      <c r="F59" s="728">
        <v>200</v>
      </c>
      <c r="G59" s="728">
        <v>0</v>
      </c>
      <c r="H59" s="728">
        <f aca="true" t="shared" si="2" ref="H59:H64">SUM(F59:G59)</f>
        <v>200</v>
      </c>
    </row>
    <row r="60" spans="1:8" s="554" customFormat="1" ht="22.5">
      <c r="A60" s="736" t="s">
        <v>273</v>
      </c>
      <c r="B60" s="730" t="s">
        <v>607</v>
      </c>
      <c r="C60" s="735" t="s">
        <v>620</v>
      </c>
      <c r="D60" s="728">
        <v>0</v>
      </c>
      <c r="E60" s="728">
        <v>0</v>
      </c>
      <c r="F60" s="728">
        <v>40</v>
      </c>
      <c r="G60" s="728">
        <v>0</v>
      </c>
      <c r="H60" s="728">
        <f t="shared" si="2"/>
        <v>40</v>
      </c>
    </row>
    <row r="61" spans="1:8" s="722" customFormat="1" ht="10.5">
      <c r="A61" s="739"/>
      <c r="B61" s="732" t="s">
        <v>603</v>
      </c>
      <c r="C61" s="740"/>
      <c r="D61" s="720">
        <f>SUM(D59:D60)</f>
        <v>0</v>
      </c>
      <c r="E61" s="720">
        <f>SUM(E59:E60)</f>
        <v>0</v>
      </c>
      <c r="F61" s="720">
        <f>SUM(F59:F60)</f>
        <v>240</v>
      </c>
      <c r="G61" s="720">
        <f>SUM(G59:G60)</f>
        <v>0</v>
      </c>
      <c r="H61" s="720">
        <f t="shared" si="2"/>
        <v>240</v>
      </c>
    </row>
    <row r="62" spans="1:8" s="722" customFormat="1" ht="10.5">
      <c r="A62" s="739"/>
      <c r="B62" s="732" t="s">
        <v>611</v>
      </c>
      <c r="C62" s="740"/>
      <c r="D62" s="720">
        <f>SUM(D57,D61)</f>
        <v>0</v>
      </c>
      <c r="E62" s="720">
        <f>SUM(E57,E61)</f>
        <v>2216</v>
      </c>
      <c r="F62" s="720">
        <f>SUM(F57,F61)</f>
        <v>2997</v>
      </c>
      <c r="G62" s="720">
        <f>SUM(G57,G61)</f>
        <v>0</v>
      </c>
      <c r="H62" s="720">
        <f t="shared" si="2"/>
        <v>2997</v>
      </c>
    </row>
    <row r="63" spans="1:8" s="554" customFormat="1" ht="11.25">
      <c r="A63" s="736"/>
      <c r="B63" s="744" t="s">
        <v>558</v>
      </c>
      <c r="C63" s="735"/>
      <c r="D63" s="720">
        <f>SUM(D48,D62)</f>
        <v>0</v>
      </c>
      <c r="E63" s="720">
        <f>SUM(E48,E62)</f>
        <v>2566</v>
      </c>
      <c r="F63" s="720">
        <f>SUM(F48,F62)</f>
        <v>32197</v>
      </c>
      <c r="G63" s="720">
        <f>SUM(G48,G62)</f>
        <v>0</v>
      </c>
      <c r="H63" s="720">
        <f t="shared" si="2"/>
        <v>32197</v>
      </c>
    </row>
    <row r="64" spans="1:8" s="722" customFormat="1" ht="24" customHeight="1">
      <c r="A64" s="718"/>
      <c r="B64" s="719" t="s">
        <v>449</v>
      </c>
      <c r="C64" s="740"/>
      <c r="D64" s="720">
        <f>SUM(D43,D63)</f>
        <v>916661</v>
      </c>
      <c r="E64" s="720">
        <f>SUM(E43,E63)</f>
        <v>1093341</v>
      </c>
      <c r="F64" s="720">
        <f>SUM(F43,F63)</f>
        <v>1202612</v>
      </c>
      <c r="G64" s="720">
        <f>SUM(G43,G63)</f>
        <v>4511</v>
      </c>
      <c r="H64" s="720">
        <f t="shared" si="2"/>
        <v>1207123</v>
      </c>
    </row>
    <row r="65" spans="1:8" s="722" customFormat="1" ht="12.75" customHeight="1">
      <c r="A65" s="718" t="s">
        <v>340</v>
      </c>
      <c r="B65" s="860" t="s">
        <v>543</v>
      </c>
      <c r="C65" s="861"/>
      <c r="D65" s="720"/>
      <c r="E65" s="720"/>
      <c r="F65" s="720"/>
      <c r="G65" s="720"/>
      <c r="H65" s="720"/>
    </row>
    <row r="66" spans="1:8" s="722" customFormat="1" ht="12.75" customHeight="1">
      <c r="A66" s="718"/>
      <c r="B66" s="719" t="s">
        <v>269</v>
      </c>
      <c r="C66" s="740"/>
      <c r="D66" s="720"/>
      <c r="E66" s="720"/>
      <c r="F66" s="720"/>
      <c r="G66" s="720"/>
      <c r="H66" s="720"/>
    </row>
    <row r="67" spans="1:8" s="554" customFormat="1" ht="12.75" customHeight="1">
      <c r="A67" s="725" t="s">
        <v>208</v>
      </c>
      <c r="B67" s="746" t="s">
        <v>473</v>
      </c>
      <c r="C67" s="735" t="s">
        <v>528</v>
      </c>
      <c r="D67" s="728">
        <v>0</v>
      </c>
      <c r="E67" s="728">
        <v>50000</v>
      </c>
      <c r="F67" s="728">
        <v>50000</v>
      </c>
      <c r="G67" s="728">
        <v>0</v>
      </c>
      <c r="H67" s="728">
        <f>SUM(F67:G67)</f>
        <v>50000</v>
      </c>
    </row>
    <row r="68" spans="1:8" s="554" customFormat="1" ht="23.25" customHeight="1">
      <c r="A68" s="725" t="s">
        <v>209</v>
      </c>
      <c r="B68" s="746" t="s">
        <v>10</v>
      </c>
      <c r="C68" s="735" t="s">
        <v>612</v>
      </c>
      <c r="D68" s="728">
        <v>0</v>
      </c>
      <c r="E68" s="728">
        <v>0</v>
      </c>
      <c r="F68" s="728">
        <v>18810</v>
      </c>
      <c r="G68" s="728">
        <v>0</v>
      </c>
      <c r="H68" s="728">
        <f>SUM(F68:G68)</f>
        <v>18810</v>
      </c>
    </row>
    <row r="69" spans="1:8" s="554" customFormat="1" ht="24" customHeight="1">
      <c r="A69" s="725" t="s">
        <v>210</v>
      </c>
      <c r="B69" s="746" t="s">
        <v>10</v>
      </c>
      <c r="C69" s="735" t="s">
        <v>656</v>
      </c>
      <c r="D69" s="728">
        <v>0</v>
      </c>
      <c r="E69" s="728">
        <v>0</v>
      </c>
      <c r="F69" s="728">
        <v>18000</v>
      </c>
      <c r="G69" s="728">
        <v>0</v>
      </c>
      <c r="H69" s="728">
        <f>SUM(F69:G69)</f>
        <v>18000</v>
      </c>
    </row>
    <row r="70" spans="1:8" s="722" customFormat="1" ht="12.75" customHeight="1">
      <c r="A70" s="718"/>
      <c r="B70" s="719" t="s">
        <v>390</v>
      </c>
      <c r="C70" s="740"/>
      <c r="D70" s="720">
        <f>SUM(D67:D69)</f>
        <v>0</v>
      </c>
      <c r="E70" s="720">
        <f>SUM(E67:E69)</f>
        <v>50000</v>
      </c>
      <c r="F70" s="720">
        <f>SUM(F67:F69)</f>
        <v>86810</v>
      </c>
      <c r="G70" s="720">
        <f>SUM(G67:G69)</f>
        <v>0</v>
      </c>
      <c r="H70" s="720">
        <f>SUM(F70:G70)</f>
        <v>86810</v>
      </c>
    </row>
    <row r="71" spans="1:8" s="722" customFormat="1" ht="12.75" customHeight="1">
      <c r="A71" s="718"/>
      <c r="B71" s="860" t="s">
        <v>544</v>
      </c>
      <c r="C71" s="861"/>
      <c r="D71" s="720">
        <f>SUM(D70)</f>
        <v>0</v>
      </c>
      <c r="E71" s="720">
        <f>SUM(E70)</f>
        <v>50000</v>
      </c>
      <c r="F71" s="720">
        <f>SUM(F70)</f>
        <v>86810</v>
      </c>
      <c r="G71" s="720">
        <f>SUM(G70)</f>
        <v>0</v>
      </c>
      <c r="H71" s="720">
        <f>SUM(F71:G71)</f>
        <v>86810</v>
      </c>
    </row>
    <row r="72" spans="1:8" s="722" customFormat="1" ht="12.75" customHeight="1">
      <c r="A72" s="718"/>
      <c r="B72" s="719"/>
      <c r="C72" s="745"/>
      <c r="D72" s="720"/>
      <c r="E72" s="720"/>
      <c r="F72" s="720"/>
      <c r="G72" s="720"/>
      <c r="H72" s="720"/>
    </row>
    <row r="73" spans="1:8" s="747" customFormat="1" ht="10.5">
      <c r="A73" s="720" t="s">
        <v>105</v>
      </c>
      <c r="B73" s="720" t="s">
        <v>481</v>
      </c>
      <c r="C73" s="753"/>
      <c r="D73" s="720"/>
      <c r="E73" s="720"/>
      <c r="F73" s="720"/>
      <c r="G73" s="720"/>
      <c r="H73" s="720"/>
    </row>
    <row r="74" spans="1:8" s="747" customFormat="1" ht="10.5">
      <c r="A74" s="720"/>
      <c r="B74" s="720" t="s">
        <v>269</v>
      </c>
      <c r="C74" s="753"/>
      <c r="D74" s="720"/>
      <c r="E74" s="720"/>
      <c r="F74" s="720"/>
      <c r="G74" s="720"/>
      <c r="H74" s="720"/>
    </row>
    <row r="75" spans="1:8" s="270" customFormat="1" ht="22.5">
      <c r="A75" s="748" t="s">
        <v>182</v>
      </c>
      <c r="B75" s="728" t="s">
        <v>542</v>
      </c>
      <c r="C75" s="749" t="s">
        <v>562</v>
      </c>
      <c r="D75" s="728">
        <v>0</v>
      </c>
      <c r="E75" s="728">
        <v>78483</v>
      </c>
      <c r="F75" s="728">
        <v>224236</v>
      </c>
      <c r="G75" s="728">
        <v>0</v>
      </c>
      <c r="H75" s="728">
        <f aca="true" t="shared" si="3" ref="H75:H80">SUM(F75:G75)</f>
        <v>224236</v>
      </c>
    </row>
    <row r="76" spans="1:8" s="270" customFormat="1" ht="22.5">
      <c r="A76" s="748" t="s">
        <v>183</v>
      </c>
      <c r="B76" s="728" t="s">
        <v>542</v>
      </c>
      <c r="C76" s="749" t="s">
        <v>556</v>
      </c>
      <c r="D76" s="728">
        <v>0</v>
      </c>
      <c r="E76" s="728">
        <v>7993</v>
      </c>
      <c r="F76" s="728">
        <v>7993</v>
      </c>
      <c r="G76" s="728">
        <v>0</v>
      </c>
      <c r="H76" s="728">
        <f t="shared" si="3"/>
        <v>7993</v>
      </c>
    </row>
    <row r="77" spans="1:8" s="270" customFormat="1" ht="22.5">
      <c r="A77" s="748" t="s">
        <v>184</v>
      </c>
      <c r="B77" s="728" t="s">
        <v>542</v>
      </c>
      <c r="C77" s="749" t="s">
        <v>556</v>
      </c>
      <c r="D77" s="728">
        <v>0</v>
      </c>
      <c r="E77" s="728">
        <v>8517</v>
      </c>
      <c r="F77" s="728">
        <v>8517</v>
      </c>
      <c r="G77" s="728">
        <v>0</v>
      </c>
      <c r="H77" s="728">
        <f t="shared" si="3"/>
        <v>8517</v>
      </c>
    </row>
    <row r="78" spans="1:8" s="270" customFormat="1" ht="11.25">
      <c r="A78" s="748" t="s">
        <v>185</v>
      </c>
      <c r="B78" s="728" t="s">
        <v>613</v>
      </c>
      <c r="C78" s="749" t="s">
        <v>614</v>
      </c>
      <c r="D78" s="728">
        <v>0</v>
      </c>
      <c r="E78" s="728">
        <v>0</v>
      </c>
      <c r="F78" s="728">
        <v>3510</v>
      </c>
      <c r="G78" s="728">
        <v>0</v>
      </c>
      <c r="H78" s="728">
        <f t="shared" si="3"/>
        <v>3510</v>
      </c>
    </row>
    <row r="79" spans="1:8" s="270" customFormat="1" ht="22.5">
      <c r="A79" s="748" t="s">
        <v>186</v>
      </c>
      <c r="B79" s="728" t="s">
        <v>640</v>
      </c>
      <c r="C79" s="749" t="s">
        <v>641</v>
      </c>
      <c r="D79" s="728">
        <v>0</v>
      </c>
      <c r="E79" s="728">
        <v>0</v>
      </c>
      <c r="F79" s="728">
        <v>0</v>
      </c>
      <c r="G79" s="728">
        <v>1000</v>
      </c>
      <c r="H79" s="728">
        <f t="shared" si="3"/>
        <v>1000</v>
      </c>
    </row>
    <row r="80" spans="1:8" s="747" customFormat="1" ht="10.5">
      <c r="A80" s="742"/>
      <c r="B80" s="720" t="s">
        <v>390</v>
      </c>
      <c r="C80" s="753"/>
      <c r="D80" s="720">
        <f>SUM(D75:D79)</f>
        <v>0</v>
      </c>
      <c r="E80" s="720">
        <f>SUM(E75:E79)</f>
        <v>94993</v>
      </c>
      <c r="F80" s="720">
        <f>SUM(F75:F79)</f>
        <v>244256</v>
      </c>
      <c r="G80" s="720">
        <f>SUM(G75:G79)</f>
        <v>1000</v>
      </c>
      <c r="H80" s="720">
        <f t="shared" si="3"/>
        <v>245256</v>
      </c>
    </row>
    <row r="81" spans="1:8" s="270" customFormat="1" ht="11.25">
      <c r="A81" s="748"/>
      <c r="B81" s="734" t="s">
        <v>539</v>
      </c>
      <c r="C81" s="749"/>
      <c r="D81" s="728"/>
      <c r="E81" s="728"/>
      <c r="F81" s="728"/>
      <c r="G81" s="728"/>
      <c r="H81" s="720"/>
    </row>
    <row r="82" spans="1:8" s="270" customFormat="1" ht="11.25">
      <c r="A82" s="748"/>
      <c r="B82" s="734" t="s">
        <v>541</v>
      </c>
      <c r="C82" s="749"/>
      <c r="D82" s="728"/>
      <c r="E82" s="728"/>
      <c r="F82" s="728"/>
      <c r="G82" s="728"/>
      <c r="H82" s="720"/>
    </row>
    <row r="83" spans="1:8" s="270" customFormat="1" ht="22.5">
      <c r="A83" s="748" t="s">
        <v>187</v>
      </c>
      <c r="B83" s="737" t="s">
        <v>549</v>
      </c>
      <c r="C83" s="735" t="s">
        <v>555</v>
      </c>
      <c r="D83" s="728">
        <v>0</v>
      </c>
      <c r="E83" s="728">
        <v>1241</v>
      </c>
      <c r="F83" s="728">
        <v>1241</v>
      </c>
      <c r="G83" s="728">
        <v>0</v>
      </c>
      <c r="H83" s="728">
        <f>SUM(F83:G83)</f>
        <v>1241</v>
      </c>
    </row>
    <row r="84" spans="1:8" s="747" customFormat="1" ht="10.5">
      <c r="A84" s="742"/>
      <c r="B84" s="734" t="s">
        <v>538</v>
      </c>
      <c r="C84" s="753"/>
      <c r="D84" s="720">
        <f>SUM(D83)</f>
        <v>0</v>
      </c>
      <c r="E84" s="720">
        <f>SUM(E83)</f>
        <v>1241</v>
      </c>
      <c r="F84" s="720">
        <f>SUM(F83)</f>
        <v>1241</v>
      </c>
      <c r="G84" s="720">
        <f>SUM(G83)</f>
        <v>0</v>
      </c>
      <c r="H84" s="720">
        <f>SUM(F84:G84)</f>
        <v>1241</v>
      </c>
    </row>
    <row r="85" spans="1:8" s="270" customFormat="1" ht="11.25">
      <c r="A85" s="728"/>
      <c r="B85" s="720" t="s">
        <v>559</v>
      </c>
      <c r="C85" s="749"/>
      <c r="D85" s="720">
        <f>SUM(D84,D80)</f>
        <v>0</v>
      </c>
      <c r="E85" s="720">
        <f>SUM(E84,E80)</f>
        <v>96234</v>
      </c>
      <c r="F85" s="720">
        <f>SUM(F84,F80)</f>
        <v>245497</v>
      </c>
      <c r="G85" s="720">
        <f>SUM(G84,G80)</f>
        <v>1000</v>
      </c>
      <c r="H85" s="720">
        <f>SUM(F85:G85)</f>
        <v>246497</v>
      </c>
    </row>
    <row r="86" spans="1:8" s="270" customFormat="1" ht="12.75" customHeight="1">
      <c r="A86" s="728"/>
      <c r="B86" s="859" t="s">
        <v>545</v>
      </c>
      <c r="C86" s="859"/>
      <c r="D86" s="720">
        <f>SUM(D71,D85)</f>
        <v>0</v>
      </c>
      <c r="E86" s="720">
        <f>SUM(E71,E85)</f>
        <v>146234</v>
      </c>
      <c r="F86" s="720">
        <f>SUM(F71,F85)</f>
        <v>332307</v>
      </c>
      <c r="G86" s="720">
        <f>SUM(G71,G85)</f>
        <v>1000</v>
      </c>
      <c r="H86" s="720">
        <f>SUM(F86:G86)</f>
        <v>333307</v>
      </c>
    </row>
    <row r="87" s="198" customFormat="1" ht="12.75">
      <c r="C87" s="189"/>
    </row>
    <row r="88" s="198" customFormat="1" ht="12.75">
      <c r="C88" s="189"/>
    </row>
    <row r="89" s="198" customFormat="1" ht="12.75">
      <c r="C89" s="189"/>
    </row>
    <row r="90" s="198" customFormat="1" ht="12.75">
      <c r="C90" s="189"/>
    </row>
    <row r="91" s="198" customFormat="1" ht="12.75">
      <c r="C91" s="189"/>
    </row>
    <row r="92" s="198" customFormat="1" ht="12.75">
      <c r="C92" s="189"/>
    </row>
    <row r="93" s="198" customFormat="1" ht="12.75">
      <c r="C93" s="189"/>
    </row>
  </sheetData>
  <sheetProtection/>
  <mergeCells count="5">
    <mergeCell ref="B86:C86"/>
    <mergeCell ref="A3:H3"/>
    <mergeCell ref="A4:H4"/>
    <mergeCell ref="B71:C71"/>
    <mergeCell ref="B65:C6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Roman,Normál"&amp;P&amp;R&amp;"Times New Roman CE,Normál"1/a.számú melléklet</oddHeader>
    <oddFooter>&amp;L&amp;"Times New Roman CE,Normál"&amp;8&amp;F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B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9" sqref="B9:M9"/>
    </sheetView>
  </sheetViews>
  <sheetFormatPr defaultColWidth="9.140625" defaultRowHeight="12.75"/>
  <cols>
    <col min="1" max="1" width="29.57421875" style="168" customWidth="1"/>
    <col min="2" max="2" width="10.140625" style="168" customWidth="1"/>
    <col min="3" max="3" width="7.7109375" style="168" customWidth="1"/>
    <col min="4" max="4" width="9.140625" style="168" customWidth="1"/>
    <col min="5" max="5" width="10.00390625" style="168" customWidth="1"/>
    <col min="6" max="6" width="7.8515625" style="168" customWidth="1"/>
    <col min="7" max="7" width="9.421875" style="168" bestFit="1" customWidth="1"/>
    <col min="8" max="8" width="10.00390625" style="168" customWidth="1"/>
    <col min="9" max="9" width="7.8515625" style="168" customWidth="1"/>
    <col min="10" max="10" width="9.421875" style="168" bestFit="1" customWidth="1"/>
    <col min="11" max="11" width="10.00390625" style="168" customWidth="1"/>
    <col min="12" max="12" width="7.7109375" style="168" customWidth="1"/>
    <col min="13" max="13" width="10.00390625" style="168" customWidth="1"/>
    <col min="14" max="16384" width="9.140625" style="808" customWidth="1"/>
  </cols>
  <sheetData>
    <row r="1" ht="10.5" customHeight="1"/>
    <row r="2" spans="1:13" ht="18.75">
      <c r="A2" s="809" t="s">
        <v>659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</row>
    <row r="3" spans="12:13" ht="10.5" customHeight="1">
      <c r="L3" s="883" t="s">
        <v>377</v>
      </c>
      <c r="M3" s="883"/>
    </row>
    <row r="4" spans="1:13" ht="12.75">
      <c r="A4" s="811" t="s">
        <v>402</v>
      </c>
      <c r="B4" s="812">
        <v>1</v>
      </c>
      <c r="C4" s="813"/>
      <c r="D4" s="814"/>
      <c r="E4" s="812">
        <v>2</v>
      </c>
      <c r="F4" s="813"/>
      <c r="G4" s="814"/>
      <c r="H4" s="812">
        <v>3</v>
      </c>
      <c r="I4" s="813"/>
      <c r="J4" s="814"/>
      <c r="K4" s="812">
        <v>4</v>
      </c>
      <c r="L4" s="813"/>
      <c r="M4" s="814"/>
    </row>
    <row r="5" spans="1:13" ht="12.75">
      <c r="A5" s="811" t="s">
        <v>170</v>
      </c>
      <c r="B5" s="811"/>
      <c r="C5" s="815"/>
      <c r="D5" s="801"/>
      <c r="E5" s="811"/>
      <c r="F5" s="816"/>
      <c r="G5" s="817"/>
      <c r="H5" s="818"/>
      <c r="I5" s="816"/>
      <c r="J5" s="817"/>
      <c r="K5" s="818"/>
      <c r="L5" s="816"/>
      <c r="M5" s="817"/>
    </row>
    <row r="6" spans="1:13" ht="12.75">
      <c r="A6" s="811" t="s">
        <v>403</v>
      </c>
      <c r="B6" s="812" t="s">
        <v>660</v>
      </c>
      <c r="C6" s="813"/>
      <c r="D6" s="814"/>
      <c r="E6" s="812" t="s">
        <v>661</v>
      </c>
      <c r="F6" s="813"/>
      <c r="G6" s="814"/>
      <c r="H6" s="812" t="s">
        <v>662</v>
      </c>
      <c r="I6" s="813"/>
      <c r="J6" s="814"/>
      <c r="K6" s="819" t="s">
        <v>663</v>
      </c>
      <c r="L6" s="813"/>
      <c r="M6" s="814"/>
    </row>
    <row r="7" spans="1:13" ht="12.75">
      <c r="A7" s="811" t="s">
        <v>404</v>
      </c>
      <c r="B7" s="812">
        <v>805212</v>
      </c>
      <c r="C7" s="813"/>
      <c r="D7" s="814"/>
      <c r="E7" s="812">
        <v>924014</v>
      </c>
      <c r="F7" s="813"/>
      <c r="G7" s="814"/>
      <c r="H7" s="812">
        <v>801313</v>
      </c>
      <c r="I7" s="813"/>
      <c r="J7" s="814"/>
      <c r="K7" s="880">
        <v>805410</v>
      </c>
      <c r="L7" s="881"/>
      <c r="M7" s="882"/>
    </row>
    <row r="8" spans="1:13" ht="12.75">
      <c r="A8" s="820" t="s">
        <v>405</v>
      </c>
      <c r="B8" s="821" t="s">
        <v>406</v>
      </c>
      <c r="C8" s="822"/>
      <c r="D8" s="823"/>
      <c r="E8" s="821"/>
      <c r="F8" s="822"/>
      <c r="G8" s="823"/>
      <c r="H8" s="821"/>
      <c r="I8" s="822"/>
      <c r="J8" s="823"/>
      <c r="K8" s="821"/>
      <c r="L8" s="822"/>
      <c r="M8" s="823"/>
    </row>
    <row r="9" spans="1:13" s="807" customFormat="1" ht="36.75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1.25" customHeight="1">
      <c r="A10" s="118" t="s">
        <v>208</v>
      </c>
      <c r="B10" s="824" t="s">
        <v>209</v>
      </c>
      <c r="C10" s="100" t="s">
        <v>210</v>
      </c>
      <c r="D10" s="100" t="s">
        <v>182</v>
      </c>
      <c r="E10" s="100" t="s">
        <v>183</v>
      </c>
      <c r="F10" s="100" t="s">
        <v>184</v>
      </c>
      <c r="G10" s="100" t="s">
        <v>185</v>
      </c>
      <c r="H10" s="100" t="s">
        <v>186</v>
      </c>
      <c r="I10" s="100" t="s">
        <v>187</v>
      </c>
      <c r="J10" s="100" t="s">
        <v>188</v>
      </c>
      <c r="K10" s="100" t="s">
        <v>189</v>
      </c>
      <c r="L10" s="100" t="s">
        <v>190</v>
      </c>
      <c r="M10" s="100" t="s">
        <v>191</v>
      </c>
    </row>
    <row r="11" spans="1:13" ht="12.75">
      <c r="A11" s="158" t="s">
        <v>408</v>
      </c>
      <c r="B11" s="101">
        <v>44</v>
      </c>
      <c r="C11" s="101"/>
      <c r="D11" s="42">
        <f>SUM(B11:C11)</f>
        <v>44</v>
      </c>
      <c r="E11" s="101">
        <v>7</v>
      </c>
      <c r="F11" s="101"/>
      <c r="G11" s="101">
        <f>SUM(E11:F11)</f>
        <v>7</v>
      </c>
      <c r="H11" s="101">
        <v>45.5</v>
      </c>
      <c r="I11" s="101"/>
      <c r="J11" s="101">
        <f>SUM(H11:I11)</f>
        <v>45.5</v>
      </c>
      <c r="K11" s="101">
        <v>12.5</v>
      </c>
      <c r="L11" s="101"/>
      <c r="M11" s="101">
        <f>SUM(K11:L11)</f>
        <v>12.5</v>
      </c>
    </row>
    <row r="12" spans="1:13" s="825" customFormat="1" ht="12.75">
      <c r="A12" s="160" t="s">
        <v>409</v>
      </c>
      <c r="B12" s="37"/>
      <c r="C12" s="37"/>
      <c r="D12" s="42"/>
      <c r="E12" s="37"/>
      <c r="F12" s="37"/>
      <c r="G12" s="101"/>
      <c r="H12" s="37"/>
      <c r="I12" s="37"/>
      <c r="J12" s="101"/>
      <c r="K12" s="37"/>
      <c r="L12" s="37"/>
      <c r="M12" s="101"/>
    </row>
    <row r="13" spans="1:13" ht="12.75">
      <c r="A13" s="158" t="s">
        <v>410</v>
      </c>
      <c r="B13" s="42">
        <v>106860</v>
      </c>
      <c r="C13" s="42">
        <f>300+2457</f>
        <v>2757</v>
      </c>
      <c r="D13" s="42">
        <f>SUM(B13:C13)</f>
        <v>109617</v>
      </c>
      <c r="E13" s="42">
        <v>27468</v>
      </c>
      <c r="F13" s="42">
        <f>250+499</f>
        <v>749</v>
      </c>
      <c r="G13" s="42">
        <f>SUM(E13:F13)</f>
        <v>28217</v>
      </c>
      <c r="H13" s="42">
        <v>111952</v>
      </c>
      <c r="I13" s="42">
        <f>350+2268</f>
        <v>2618</v>
      </c>
      <c r="J13" s="42">
        <f>SUM(H13:I13)</f>
        <v>114570</v>
      </c>
      <c r="K13" s="42">
        <v>41103</v>
      </c>
      <c r="L13" s="42">
        <f>300+699</f>
        <v>999</v>
      </c>
      <c r="M13" s="42">
        <f>SUM(K13:L13)</f>
        <v>42102</v>
      </c>
    </row>
    <row r="14" spans="1:13" ht="12.75">
      <c r="A14" s="158" t="s">
        <v>374</v>
      </c>
      <c r="B14" s="42">
        <v>33676</v>
      </c>
      <c r="C14" s="42">
        <f>87+8+713+71</f>
        <v>879</v>
      </c>
      <c r="D14" s="42">
        <f>SUM(B14:C14)</f>
        <v>34555</v>
      </c>
      <c r="E14" s="42">
        <v>8578</v>
      </c>
      <c r="F14" s="42">
        <f>72+145+8+15</f>
        <v>240</v>
      </c>
      <c r="G14" s="42">
        <f>SUM(E14:F14)</f>
        <v>8818</v>
      </c>
      <c r="H14" s="42">
        <v>35736</v>
      </c>
      <c r="I14" s="42">
        <f>104+658+10+67</f>
        <v>839</v>
      </c>
      <c r="J14" s="42">
        <f>SUM(H14:I14)</f>
        <v>36575</v>
      </c>
      <c r="K14" s="42">
        <v>12961</v>
      </c>
      <c r="L14" s="42">
        <f>87+203+8+20</f>
        <v>318</v>
      </c>
      <c r="M14" s="42">
        <f>SUM(K14:L14)</f>
        <v>13279</v>
      </c>
    </row>
    <row r="15" spans="1:13" ht="12.75">
      <c r="A15" s="158" t="s">
        <v>375</v>
      </c>
      <c r="B15" s="42">
        <v>9425</v>
      </c>
      <c r="C15" s="42">
        <v>-488</v>
      </c>
      <c r="D15" s="42">
        <f>SUM(B15:C15)</f>
        <v>8937</v>
      </c>
      <c r="E15" s="42">
        <v>24969</v>
      </c>
      <c r="F15" s="42">
        <f>-70-125+1199</f>
        <v>1004</v>
      </c>
      <c r="G15" s="42">
        <f>SUM(E15:F15)</f>
        <v>25973</v>
      </c>
      <c r="H15" s="42">
        <v>11917</v>
      </c>
      <c r="I15" s="42">
        <f>-904-55</f>
        <v>-959</v>
      </c>
      <c r="J15" s="42">
        <f>SUM(H15:I15)</f>
        <v>10958</v>
      </c>
      <c r="K15" s="42">
        <v>9512</v>
      </c>
      <c r="L15" s="42">
        <v>-356</v>
      </c>
      <c r="M15" s="42">
        <f>SUM(K15:L15)</f>
        <v>9156</v>
      </c>
    </row>
    <row r="16" spans="1:13" ht="24">
      <c r="A16" s="47" t="s">
        <v>281</v>
      </c>
      <c r="B16" s="42"/>
      <c r="C16" s="42"/>
      <c r="D16" s="42">
        <f>SUM(B16:C16)</f>
        <v>0</v>
      </c>
      <c r="E16" s="42"/>
      <c r="F16" s="42"/>
      <c r="G16" s="101"/>
      <c r="H16" s="42"/>
      <c r="I16" s="42"/>
      <c r="J16" s="42"/>
      <c r="K16" s="42"/>
      <c r="L16" s="42"/>
      <c r="M16" s="42"/>
    </row>
    <row r="17" spans="1:13" ht="12.75">
      <c r="A17" s="158" t="s">
        <v>665</v>
      </c>
      <c r="B17" s="42"/>
      <c r="C17" s="42"/>
      <c r="D17" s="42">
        <f>SUM(B17:C17)</f>
        <v>0</v>
      </c>
      <c r="E17" s="42"/>
      <c r="F17" s="42"/>
      <c r="G17" s="42"/>
      <c r="H17" s="42"/>
      <c r="I17" s="42"/>
      <c r="J17" s="42"/>
      <c r="K17" s="42"/>
      <c r="L17" s="42"/>
      <c r="M17" s="42"/>
    </row>
    <row r="18" spans="1:13" s="825" customFormat="1" ht="12.75">
      <c r="A18" s="160" t="s">
        <v>376</v>
      </c>
      <c r="B18" s="37">
        <f aca="true" t="shared" si="0" ref="B18:M18">SUM(B13:B17)</f>
        <v>149961</v>
      </c>
      <c r="C18" s="37">
        <f t="shared" si="0"/>
        <v>3148</v>
      </c>
      <c r="D18" s="37">
        <f t="shared" si="0"/>
        <v>153109</v>
      </c>
      <c r="E18" s="37">
        <f t="shared" si="0"/>
        <v>61015</v>
      </c>
      <c r="F18" s="37">
        <f t="shared" si="0"/>
        <v>1993</v>
      </c>
      <c r="G18" s="37">
        <f t="shared" si="0"/>
        <v>63008</v>
      </c>
      <c r="H18" s="37">
        <f t="shared" si="0"/>
        <v>159605</v>
      </c>
      <c r="I18" s="37">
        <f t="shared" si="0"/>
        <v>2498</v>
      </c>
      <c r="J18" s="37">
        <f t="shared" si="0"/>
        <v>162103</v>
      </c>
      <c r="K18" s="37">
        <f t="shared" si="0"/>
        <v>63576</v>
      </c>
      <c r="L18" s="37">
        <f t="shared" si="0"/>
        <v>961</v>
      </c>
      <c r="M18" s="37">
        <f t="shared" si="0"/>
        <v>64537</v>
      </c>
    </row>
    <row r="19" spans="1:13" ht="12.75">
      <c r="A19" s="158" t="s">
        <v>423</v>
      </c>
      <c r="B19" s="42"/>
      <c r="C19" s="42"/>
      <c r="D19" s="42">
        <f>SUM(B19:C19)</f>
        <v>0</v>
      </c>
      <c r="E19" s="42">
        <v>1477</v>
      </c>
      <c r="F19" s="42">
        <f>588+727</f>
        <v>1315</v>
      </c>
      <c r="G19" s="42">
        <f>SUM(E19:F19)</f>
        <v>2792</v>
      </c>
      <c r="H19" s="42"/>
      <c r="I19" s="42"/>
      <c r="J19" s="42">
        <f>SUM(H19:I19)</f>
        <v>0</v>
      </c>
      <c r="K19" s="42"/>
      <c r="L19" s="42"/>
      <c r="M19" s="42">
        <f>SUM(K19:L19)</f>
        <v>0</v>
      </c>
    </row>
    <row r="20" spans="1:13" ht="12.75">
      <c r="A20" s="158" t="s">
        <v>424</v>
      </c>
      <c r="B20" s="42">
        <v>2619</v>
      </c>
      <c r="C20" s="42">
        <v>488</v>
      </c>
      <c r="D20" s="42">
        <f>SUM(B20:C20)</f>
        <v>3107</v>
      </c>
      <c r="E20" s="42"/>
      <c r="F20" s="42">
        <v>125</v>
      </c>
      <c r="G20" s="42">
        <f>SUM(E20:F20)</f>
        <v>125</v>
      </c>
      <c r="H20" s="42">
        <v>9820</v>
      </c>
      <c r="I20" s="42">
        <f>904+55</f>
        <v>959</v>
      </c>
      <c r="J20" s="42">
        <f>SUM(H20:I20)</f>
        <v>10779</v>
      </c>
      <c r="K20" s="42"/>
      <c r="L20" s="42">
        <v>356</v>
      </c>
      <c r="M20" s="42">
        <f>SUM(K20:L20)</f>
        <v>356</v>
      </c>
    </row>
    <row r="21" spans="1:13" ht="24">
      <c r="A21" s="47" t="s">
        <v>422</v>
      </c>
      <c r="B21" s="42"/>
      <c r="C21" s="42"/>
      <c r="D21" s="42">
        <f>SUM(B21:C21)</f>
        <v>0</v>
      </c>
      <c r="E21" s="42"/>
      <c r="F21" s="42"/>
      <c r="G21" s="42">
        <f>SUM(E21:F21)</f>
        <v>0</v>
      </c>
      <c r="H21" s="42"/>
      <c r="I21" s="42"/>
      <c r="J21" s="42">
        <f>SUM(H21:I21)</f>
        <v>0</v>
      </c>
      <c r="K21" s="42"/>
      <c r="L21" s="42"/>
      <c r="M21" s="42">
        <f>SUM(K21:L21)</f>
        <v>0</v>
      </c>
    </row>
    <row r="22" spans="1:13" s="825" customFormat="1" ht="12.75">
      <c r="A22" s="160" t="s">
        <v>83</v>
      </c>
      <c r="B22" s="37">
        <f aca="true" t="shared" si="1" ref="B22:M22">SUM(B19:B21)</f>
        <v>2619</v>
      </c>
      <c r="C22" s="37">
        <f t="shared" si="1"/>
        <v>488</v>
      </c>
      <c r="D22" s="37">
        <f t="shared" si="1"/>
        <v>3107</v>
      </c>
      <c r="E22" s="37">
        <f t="shared" si="1"/>
        <v>1477</v>
      </c>
      <c r="F22" s="37">
        <f t="shared" si="1"/>
        <v>1440</v>
      </c>
      <c r="G22" s="37">
        <f t="shared" si="1"/>
        <v>2917</v>
      </c>
      <c r="H22" s="37">
        <f t="shared" si="1"/>
        <v>9820</v>
      </c>
      <c r="I22" s="37">
        <f t="shared" si="1"/>
        <v>959</v>
      </c>
      <c r="J22" s="37">
        <f t="shared" si="1"/>
        <v>10779</v>
      </c>
      <c r="K22" s="37">
        <f t="shared" si="1"/>
        <v>0</v>
      </c>
      <c r="L22" s="37">
        <f t="shared" si="1"/>
        <v>356</v>
      </c>
      <c r="M22" s="37">
        <f t="shared" si="1"/>
        <v>356</v>
      </c>
    </row>
    <row r="23" spans="1:13" s="825" customFormat="1" ht="12.75">
      <c r="A23" s="162" t="s">
        <v>84</v>
      </c>
      <c r="B23" s="37">
        <f aca="true" t="shared" si="2" ref="B23:M23">SUM(B18+B22)</f>
        <v>152580</v>
      </c>
      <c r="C23" s="37">
        <f t="shared" si="2"/>
        <v>3636</v>
      </c>
      <c r="D23" s="37">
        <f t="shared" si="2"/>
        <v>156216</v>
      </c>
      <c r="E23" s="37">
        <f t="shared" si="2"/>
        <v>62492</v>
      </c>
      <c r="F23" s="37">
        <f t="shared" si="2"/>
        <v>3433</v>
      </c>
      <c r="G23" s="37">
        <f t="shared" si="2"/>
        <v>65925</v>
      </c>
      <c r="H23" s="37">
        <f t="shared" si="2"/>
        <v>169425</v>
      </c>
      <c r="I23" s="37">
        <f t="shared" si="2"/>
        <v>3457</v>
      </c>
      <c r="J23" s="37">
        <f t="shared" si="2"/>
        <v>172882</v>
      </c>
      <c r="K23" s="37">
        <f t="shared" si="2"/>
        <v>63576</v>
      </c>
      <c r="L23" s="37">
        <f t="shared" si="2"/>
        <v>1317</v>
      </c>
      <c r="M23" s="37">
        <f t="shared" si="2"/>
        <v>64893</v>
      </c>
    </row>
    <row r="24" spans="1:13" s="825" customFormat="1" ht="12.75">
      <c r="A24" s="160" t="s">
        <v>85</v>
      </c>
      <c r="B24" s="37"/>
      <c r="C24" s="37"/>
      <c r="D24" s="42">
        <f aca="true" t="shared" si="3" ref="D24:D33">SUM(B24:C24)</f>
        <v>0</v>
      </c>
      <c r="E24" s="37"/>
      <c r="F24" s="37"/>
      <c r="G24" s="42">
        <f aca="true" t="shared" si="4" ref="G24:G33">SUM(E24:F24)</f>
        <v>0</v>
      </c>
      <c r="H24" s="37"/>
      <c r="I24" s="37"/>
      <c r="J24" s="42">
        <f aca="true" t="shared" si="5" ref="J24:J33">SUM(H24:I24)</f>
        <v>0</v>
      </c>
      <c r="K24" s="37"/>
      <c r="L24" s="37"/>
      <c r="M24" s="42">
        <f aca="true" t="shared" si="6" ref="M24:M33">SUM(K24:L24)</f>
        <v>0</v>
      </c>
    </row>
    <row r="25" spans="1:13" ht="24">
      <c r="A25" s="47" t="s">
        <v>282</v>
      </c>
      <c r="B25" s="42"/>
      <c r="C25" s="42"/>
      <c r="D25" s="42">
        <f t="shared" si="3"/>
        <v>0</v>
      </c>
      <c r="E25" s="42"/>
      <c r="F25" s="42"/>
      <c r="G25" s="42">
        <f t="shared" si="4"/>
        <v>0</v>
      </c>
      <c r="H25" s="42"/>
      <c r="I25" s="42"/>
      <c r="J25" s="42">
        <f t="shared" si="5"/>
        <v>0</v>
      </c>
      <c r="K25" s="42"/>
      <c r="L25" s="42"/>
      <c r="M25" s="42">
        <f t="shared" si="6"/>
        <v>0</v>
      </c>
    </row>
    <row r="26" spans="1:13" ht="24">
      <c r="A26" s="47" t="s">
        <v>289</v>
      </c>
      <c r="B26" s="42"/>
      <c r="C26" s="42"/>
      <c r="D26" s="42">
        <f t="shared" si="3"/>
        <v>0</v>
      </c>
      <c r="E26" s="42">
        <f>1241+1052</f>
        <v>2293</v>
      </c>
      <c r="F26" s="42">
        <v>1199</v>
      </c>
      <c r="G26" s="42">
        <f t="shared" si="4"/>
        <v>3492</v>
      </c>
      <c r="H26" s="42">
        <v>9000</v>
      </c>
      <c r="I26" s="42"/>
      <c r="J26" s="42">
        <f t="shared" si="5"/>
        <v>9000</v>
      </c>
      <c r="K26" s="42"/>
      <c r="L26" s="42"/>
      <c r="M26" s="42">
        <f t="shared" si="6"/>
        <v>0</v>
      </c>
    </row>
    <row r="27" spans="1:13" ht="12.75">
      <c r="A27" s="158" t="s">
        <v>290</v>
      </c>
      <c r="B27" s="42"/>
      <c r="C27" s="42"/>
      <c r="D27" s="42">
        <f t="shared" si="3"/>
        <v>0</v>
      </c>
      <c r="E27" s="42"/>
      <c r="F27" s="42"/>
      <c r="G27" s="42">
        <f t="shared" si="4"/>
        <v>0</v>
      </c>
      <c r="H27" s="42"/>
      <c r="I27" s="42"/>
      <c r="J27" s="42">
        <f t="shared" si="5"/>
        <v>0</v>
      </c>
      <c r="K27" s="42"/>
      <c r="L27" s="42"/>
      <c r="M27" s="42">
        <f t="shared" si="6"/>
        <v>0</v>
      </c>
    </row>
    <row r="28" spans="1:13" ht="12.75">
      <c r="A28" s="158" t="s">
        <v>666</v>
      </c>
      <c r="B28" s="42"/>
      <c r="C28" s="42"/>
      <c r="D28" s="42">
        <f t="shared" si="3"/>
        <v>0</v>
      </c>
      <c r="E28" s="42">
        <v>248</v>
      </c>
      <c r="F28" s="42"/>
      <c r="G28" s="42">
        <f t="shared" si="4"/>
        <v>248</v>
      </c>
      <c r="H28" s="42"/>
      <c r="I28" s="42"/>
      <c r="J28" s="42">
        <f t="shared" si="5"/>
        <v>0</v>
      </c>
      <c r="K28" s="42"/>
      <c r="L28" s="42"/>
      <c r="M28" s="42">
        <f t="shared" si="6"/>
        <v>0</v>
      </c>
    </row>
    <row r="29" spans="1:13" ht="12" customHeight="1">
      <c r="A29" s="158" t="s">
        <v>667</v>
      </c>
      <c r="B29" s="42"/>
      <c r="C29" s="42"/>
      <c r="D29" s="42">
        <f t="shared" si="3"/>
        <v>0</v>
      </c>
      <c r="E29" s="42"/>
      <c r="F29" s="42"/>
      <c r="G29" s="42">
        <f t="shared" si="4"/>
        <v>0</v>
      </c>
      <c r="H29" s="42"/>
      <c r="I29" s="42"/>
      <c r="J29" s="42">
        <f t="shared" si="5"/>
        <v>0</v>
      </c>
      <c r="K29" s="42"/>
      <c r="L29" s="42"/>
      <c r="M29" s="42">
        <f t="shared" si="6"/>
        <v>0</v>
      </c>
    </row>
    <row r="30" spans="1:13" ht="24">
      <c r="A30" s="47" t="s">
        <v>417</v>
      </c>
      <c r="B30" s="42"/>
      <c r="C30" s="42"/>
      <c r="D30" s="42">
        <f t="shared" si="3"/>
        <v>0</v>
      </c>
      <c r="E30" s="42"/>
      <c r="F30" s="42"/>
      <c r="G30" s="42">
        <f t="shared" si="4"/>
        <v>0</v>
      </c>
      <c r="H30" s="42">
        <v>10</v>
      </c>
      <c r="I30" s="42"/>
      <c r="J30" s="42">
        <f t="shared" si="5"/>
        <v>10</v>
      </c>
      <c r="K30" s="42"/>
      <c r="L30" s="42"/>
      <c r="M30" s="42">
        <f t="shared" si="6"/>
        <v>0</v>
      </c>
    </row>
    <row r="31" spans="1:13" ht="24">
      <c r="A31" s="164" t="s">
        <v>418</v>
      </c>
      <c r="B31" s="42"/>
      <c r="C31" s="42"/>
      <c r="D31" s="42">
        <f t="shared" si="3"/>
        <v>0</v>
      </c>
      <c r="E31" s="42"/>
      <c r="F31" s="42"/>
      <c r="G31" s="42">
        <f t="shared" si="4"/>
        <v>0</v>
      </c>
      <c r="H31" s="42"/>
      <c r="I31" s="42"/>
      <c r="J31" s="42">
        <f t="shared" si="5"/>
        <v>0</v>
      </c>
      <c r="K31" s="42"/>
      <c r="L31" s="42"/>
      <c r="M31" s="42">
        <f t="shared" si="6"/>
        <v>0</v>
      </c>
    </row>
    <row r="32" spans="1:13" ht="12.75">
      <c r="A32" s="158" t="s">
        <v>419</v>
      </c>
      <c r="B32" s="42"/>
      <c r="C32" s="42"/>
      <c r="D32" s="42">
        <f t="shared" si="3"/>
        <v>0</v>
      </c>
      <c r="E32" s="42"/>
      <c r="F32" s="42"/>
      <c r="G32" s="42">
        <f t="shared" si="4"/>
        <v>0</v>
      </c>
      <c r="H32" s="42"/>
      <c r="I32" s="42"/>
      <c r="J32" s="42">
        <f t="shared" si="5"/>
        <v>0</v>
      </c>
      <c r="K32" s="42"/>
      <c r="L32" s="42"/>
      <c r="M32" s="42">
        <f t="shared" si="6"/>
        <v>0</v>
      </c>
    </row>
    <row r="33" spans="1:13" ht="12.75">
      <c r="A33" s="158" t="s">
        <v>420</v>
      </c>
      <c r="B33" s="42">
        <v>5855</v>
      </c>
      <c r="C33" s="42"/>
      <c r="D33" s="42">
        <f t="shared" si="3"/>
        <v>5855</v>
      </c>
      <c r="E33" s="42">
        <v>1767</v>
      </c>
      <c r="F33" s="42"/>
      <c r="G33" s="42">
        <f t="shared" si="4"/>
        <v>1767</v>
      </c>
      <c r="H33" s="42">
        <v>1124</v>
      </c>
      <c r="I33" s="42"/>
      <c r="J33" s="42">
        <f t="shared" si="5"/>
        <v>1124</v>
      </c>
      <c r="K33" s="42">
        <v>670</v>
      </c>
      <c r="L33" s="42"/>
      <c r="M33" s="42">
        <f t="shared" si="6"/>
        <v>670</v>
      </c>
    </row>
    <row r="34" spans="1:13" ht="12.75">
      <c r="A34" s="158" t="s">
        <v>421</v>
      </c>
      <c r="B34" s="42">
        <f aca="true" t="shared" si="7" ref="B34:M34">+B23-B25-B26-B27-B28-B30-B31-B32-B33-B29</f>
        <v>146725</v>
      </c>
      <c r="C34" s="42">
        <f t="shared" si="7"/>
        <v>3636</v>
      </c>
      <c r="D34" s="42">
        <f t="shared" si="7"/>
        <v>150361</v>
      </c>
      <c r="E34" s="42">
        <f t="shared" si="7"/>
        <v>58184</v>
      </c>
      <c r="F34" s="42">
        <f t="shared" si="7"/>
        <v>2234</v>
      </c>
      <c r="G34" s="42">
        <f t="shared" si="7"/>
        <v>60418</v>
      </c>
      <c r="H34" s="42">
        <f t="shared" si="7"/>
        <v>159291</v>
      </c>
      <c r="I34" s="42">
        <f t="shared" si="7"/>
        <v>3457</v>
      </c>
      <c r="J34" s="42">
        <f t="shared" si="7"/>
        <v>162748</v>
      </c>
      <c r="K34" s="42">
        <f t="shared" si="7"/>
        <v>62906</v>
      </c>
      <c r="L34" s="42">
        <f t="shared" si="7"/>
        <v>1317</v>
      </c>
      <c r="M34" s="42">
        <f t="shared" si="7"/>
        <v>64223</v>
      </c>
    </row>
    <row r="35" spans="1:13" ht="12.75">
      <c r="A35" s="826" t="s">
        <v>66</v>
      </c>
      <c r="B35" s="42"/>
      <c r="C35" s="42"/>
      <c r="D35" s="827">
        <f>SUM(B35:C35)</f>
        <v>0</v>
      </c>
      <c r="E35" s="42"/>
      <c r="F35" s="42"/>
      <c r="G35" s="827">
        <f>SUM(E35:F35)</f>
        <v>0</v>
      </c>
      <c r="H35" s="42">
        <v>54942</v>
      </c>
      <c r="I35" s="42"/>
      <c r="J35" s="42">
        <f>SUM(H35:I35)</f>
        <v>54942</v>
      </c>
      <c r="K35" s="42"/>
      <c r="L35" s="42"/>
      <c r="M35" s="42">
        <f>SUM(K35:L35)</f>
        <v>0</v>
      </c>
    </row>
    <row r="36" spans="1:13" ht="11.25" customHeight="1">
      <c r="A36" s="797" t="s">
        <v>668</v>
      </c>
      <c r="B36" s="42">
        <v>34920</v>
      </c>
      <c r="C36" s="42"/>
      <c r="D36" s="42">
        <f>SUM(B36:C36)</f>
        <v>34920</v>
      </c>
      <c r="E36" s="42"/>
      <c r="F36" s="42"/>
      <c r="G36" s="42">
        <f>SUM(E36:F36)</f>
        <v>0</v>
      </c>
      <c r="H36" s="42"/>
      <c r="I36" s="42"/>
      <c r="J36" s="42">
        <f>SUM(H36:I36)</f>
        <v>0</v>
      </c>
      <c r="K36" s="42">
        <v>1940</v>
      </c>
      <c r="L36" s="42"/>
      <c r="M36" s="42">
        <f>SUM(K36:L36)</f>
        <v>1940</v>
      </c>
    </row>
    <row r="37" spans="1:13" s="825" customFormat="1" ht="12" customHeight="1">
      <c r="A37" s="162" t="s">
        <v>396</v>
      </c>
      <c r="B37" s="37">
        <f aca="true" t="shared" si="8" ref="B37:M37">SUM(B25:B34)</f>
        <v>152580</v>
      </c>
      <c r="C37" s="37">
        <f t="shared" si="8"/>
        <v>3636</v>
      </c>
      <c r="D37" s="37">
        <f t="shared" si="8"/>
        <v>156216</v>
      </c>
      <c r="E37" s="37">
        <f t="shared" si="8"/>
        <v>62492</v>
      </c>
      <c r="F37" s="37">
        <f t="shared" si="8"/>
        <v>3433</v>
      </c>
      <c r="G37" s="37">
        <f t="shared" si="8"/>
        <v>65925</v>
      </c>
      <c r="H37" s="37">
        <f t="shared" si="8"/>
        <v>169425</v>
      </c>
      <c r="I37" s="37">
        <f t="shared" si="8"/>
        <v>3457</v>
      </c>
      <c r="J37" s="37">
        <f t="shared" si="8"/>
        <v>172882</v>
      </c>
      <c r="K37" s="37">
        <f t="shared" si="8"/>
        <v>63576</v>
      </c>
      <c r="L37" s="37">
        <f t="shared" si="8"/>
        <v>1317</v>
      </c>
      <c r="M37" s="37">
        <f t="shared" si="8"/>
        <v>64893</v>
      </c>
    </row>
    <row r="39" spans="2:11" ht="12.75">
      <c r="B39" s="827"/>
      <c r="E39" s="827"/>
      <c r="H39" s="827"/>
      <c r="K39" s="827"/>
    </row>
  </sheetData>
  <mergeCells count="2">
    <mergeCell ref="K7:M7"/>
    <mergeCell ref="L3:M3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&amp;C&amp;"Times New Roman,Normál"1&amp;"MS Sans Serif,Normál"
&amp;R&amp;"Times New Roman,Normál"6/a.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B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9" sqref="B9:M9"/>
    </sheetView>
  </sheetViews>
  <sheetFormatPr defaultColWidth="9.140625" defaultRowHeight="12.75"/>
  <cols>
    <col min="1" max="1" width="28.8515625" style="168" customWidth="1"/>
    <col min="2" max="2" width="10.28125" style="168" customWidth="1"/>
    <col min="3" max="3" width="7.421875" style="168" customWidth="1"/>
    <col min="4" max="4" width="9.421875" style="168" bestFit="1" customWidth="1"/>
    <col min="5" max="5" width="10.140625" style="168" customWidth="1"/>
    <col min="6" max="6" width="7.421875" style="168" customWidth="1"/>
    <col min="7" max="7" width="9.421875" style="168" bestFit="1" customWidth="1"/>
    <col min="8" max="8" width="10.28125" style="168" customWidth="1"/>
    <col min="9" max="9" width="7.421875" style="168" customWidth="1"/>
    <col min="10" max="10" width="9.421875" style="168" bestFit="1" customWidth="1"/>
    <col min="11" max="11" width="10.421875" style="168" customWidth="1"/>
    <col min="12" max="12" width="7.8515625" style="168" customWidth="1"/>
    <col min="13" max="13" width="9.421875" style="168" bestFit="1" customWidth="1"/>
    <col min="14" max="16384" width="9.140625" style="808" customWidth="1"/>
  </cols>
  <sheetData>
    <row r="2" spans="1:13" ht="18.75">
      <c r="A2" s="809" t="s">
        <v>659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</row>
    <row r="3" spans="12:13" ht="12.75">
      <c r="L3" s="883" t="s">
        <v>377</v>
      </c>
      <c r="M3" s="883"/>
    </row>
    <row r="4" spans="1:13" ht="12.75">
      <c r="A4" s="811" t="s">
        <v>402</v>
      </c>
      <c r="B4" s="812">
        <v>5</v>
      </c>
      <c r="C4" s="813"/>
      <c r="D4" s="814"/>
      <c r="E4" s="812">
        <v>6</v>
      </c>
      <c r="F4" s="813"/>
      <c r="G4" s="814"/>
      <c r="H4" s="812">
        <v>7</v>
      </c>
      <c r="I4" s="813"/>
      <c r="J4" s="814"/>
      <c r="K4" s="812">
        <v>8</v>
      </c>
      <c r="L4" s="813"/>
      <c r="M4" s="814"/>
    </row>
    <row r="5" spans="1:13" ht="12.75">
      <c r="A5" s="811" t="s">
        <v>170</v>
      </c>
      <c r="B5" s="811"/>
      <c r="C5" s="815"/>
      <c r="D5" s="801"/>
      <c r="E5" s="811"/>
      <c r="F5" s="816"/>
      <c r="G5" s="817"/>
      <c r="H5" s="818"/>
      <c r="I5" s="816"/>
      <c r="J5" s="817"/>
      <c r="K5" s="818"/>
      <c r="L5" s="816"/>
      <c r="M5" s="817"/>
    </row>
    <row r="6" spans="1:13" ht="12.75">
      <c r="A6" s="811" t="s">
        <v>403</v>
      </c>
      <c r="B6" s="812" t="s">
        <v>669</v>
      </c>
      <c r="C6" s="813"/>
      <c r="D6" s="814"/>
      <c r="E6" s="812" t="s">
        <v>670</v>
      </c>
      <c r="F6" s="813"/>
      <c r="G6" s="814"/>
      <c r="H6" s="812" t="s">
        <v>671</v>
      </c>
      <c r="I6" s="813"/>
      <c r="J6" s="814"/>
      <c r="K6" s="812" t="s">
        <v>672</v>
      </c>
      <c r="L6" s="813"/>
      <c r="M6" s="814"/>
    </row>
    <row r="7" spans="1:13" ht="12.75">
      <c r="A7" s="811" t="s">
        <v>404</v>
      </c>
      <c r="B7" s="813">
        <v>923215</v>
      </c>
      <c r="C7" s="813"/>
      <c r="D7" s="814"/>
      <c r="E7" s="812">
        <v>751779</v>
      </c>
      <c r="F7" s="813"/>
      <c r="G7" s="814"/>
      <c r="H7" s="812">
        <v>801115</v>
      </c>
      <c r="I7" s="813"/>
      <c r="J7" s="814"/>
      <c r="K7" s="812">
        <v>801115</v>
      </c>
      <c r="L7" s="813"/>
      <c r="M7" s="814"/>
    </row>
    <row r="8" spans="1:13" ht="12.75">
      <c r="A8" s="820" t="s">
        <v>405</v>
      </c>
      <c r="B8" s="821" t="s">
        <v>406</v>
      </c>
      <c r="C8" s="822"/>
      <c r="D8" s="823"/>
      <c r="E8" s="821"/>
      <c r="F8" s="822"/>
      <c r="G8" s="823"/>
      <c r="H8" s="821"/>
      <c r="I8" s="822"/>
      <c r="J8" s="823"/>
      <c r="K8" s="821"/>
      <c r="L8" s="822"/>
      <c r="M8" s="823"/>
    </row>
    <row r="9" spans="1:13" s="25" customFormat="1" ht="38.25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1.25" customHeight="1">
      <c r="A10" s="118" t="s">
        <v>208</v>
      </c>
      <c r="B10" s="824" t="s">
        <v>209</v>
      </c>
      <c r="C10" s="100" t="s">
        <v>210</v>
      </c>
      <c r="D10" s="100" t="s">
        <v>182</v>
      </c>
      <c r="E10" s="100" t="s">
        <v>183</v>
      </c>
      <c r="F10" s="100" t="s">
        <v>184</v>
      </c>
      <c r="G10" s="100" t="s">
        <v>185</v>
      </c>
      <c r="H10" s="100" t="s">
        <v>186</v>
      </c>
      <c r="I10" s="100" t="s">
        <v>187</v>
      </c>
      <c r="J10" s="100" t="s">
        <v>188</v>
      </c>
      <c r="K10" s="100" t="s">
        <v>189</v>
      </c>
      <c r="L10" s="100" t="s">
        <v>190</v>
      </c>
      <c r="M10" s="100" t="s">
        <v>191</v>
      </c>
    </row>
    <row r="11" spans="1:13" ht="12.75">
      <c r="A11" s="158" t="s">
        <v>408</v>
      </c>
      <c r="B11" s="101">
        <v>6</v>
      </c>
      <c r="C11" s="101"/>
      <c r="D11" s="101">
        <f>SUM(B11:C11)</f>
        <v>6</v>
      </c>
      <c r="E11" s="101">
        <v>5</v>
      </c>
      <c r="F11" s="101"/>
      <c r="G11" s="101">
        <f>SUM(E11:F11)</f>
        <v>5</v>
      </c>
      <c r="H11" s="101">
        <v>35.5</v>
      </c>
      <c r="I11" s="101"/>
      <c r="J11" s="101">
        <f>SUM(H11:I11)</f>
        <v>35.5</v>
      </c>
      <c r="K11" s="101">
        <v>38.5</v>
      </c>
      <c r="L11" s="101"/>
      <c r="M11" s="101">
        <f>SUM(K11:L11)</f>
        <v>38.5</v>
      </c>
    </row>
    <row r="12" spans="1:13" s="825" customFormat="1" ht="12.75">
      <c r="A12" s="160" t="s">
        <v>409</v>
      </c>
      <c r="B12" s="37"/>
      <c r="C12" s="37"/>
      <c r="D12" s="101"/>
      <c r="E12" s="37"/>
      <c r="F12" s="37"/>
      <c r="G12" s="101"/>
      <c r="H12" s="37"/>
      <c r="I12" s="37"/>
      <c r="J12" s="101"/>
      <c r="K12" s="37"/>
      <c r="L12" s="37"/>
      <c r="M12" s="101"/>
    </row>
    <row r="13" spans="1:13" ht="12.75">
      <c r="A13" s="158" t="s">
        <v>410</v>
      </c>
      <c r="B13" s="42">
        <v>14199</v>
      </c>
      <c r="C13" s="42">
        <f>250+299</f>
        <v>549</v>
      </c>
      <c r="D13" s="42">
        <f>SUM(B13:C13)</f>
        <v>14748</v>
      </c>
      <c r="E13" s="42">
        <v>10124</v>
      </c>
      <c r="F13" s="42">
        <f>250+228</f>
        <v>478</v>
      </c>
      <c r="G13" s="42">
        <f>SUM(E13:F13)</f>
        <v>10602</v>
      </c>
      <c r="H13" s="42">
        <v>77429</v>
      </c>
      <c r="I13" s="42">
        <f>250+2503</f>
        <v>2753</v>
      </c>
      <c r="J13" s="42">
        <f>SUM(H13:I13)</f>
        <v>80182</v>
      </c>
      <c r="K13" s="42">
        <v>80620</v>
      </c>
      <c r="L13" s="42">
        <f>257+2553</f>
        <v>2810</v>
      </c>
      <c r="M13" s="42">
        <f>SUM(K13:L13)</f>
        <v>83430</v>
      </c>
    </row>
    <row r="14" spans="1:13" ht="12.75">
      <c r="A14" s="158" t="s">
        <v>374</v>
      </c>
      <c r="B14" s="42">
        <v>4163</v>
      </c>
      <c r="C14" s="42">
        <f>72+87+8+9</f>
        <v>176</v>
      </c>
      <c r="D14" s="42">
        <f>SUM(B14:C14)</f>
        <v>4339</v>
      </c>
      <c r="E14" s="42">
        <v>3133</v>
      </c>
      <c r="F14" s="42">
        <f>72+66+8+7</f>
        <v>153</v>
      </c>
      <c r="G14" s="42">
        <f>SUM(E14:F14)</f>
        <v>3286</v>
      </c>
      <c r="H14" s="42">
        <v>25025</v>
      </c>
      <c r="I14" s="42">
        <f>72+725+8+75</f>
        <v>880</v>
      </c>
      <c r="J14" s="42">
        <f>SUM(H14:I14)</f>
        <v>25905</v>
      </c>
      <c r="K14" s="42">
        <v>26340</v>
      </c>
      <c r="L14" s="42">
        <f>74+739+8+75</f>
        <v>896</v>
      </c>
      <c r="M14" s="42">
        <f>SUM(K14:L14)</f>
        <v>27236</v>
      </c>
    </row>
    <row r="15" spans="1:13" ht="12.75">
      <c r="A15" s="158" t="s">
        <v>375</v>
      </c>
      <c r="B15" s="42">
        <v>16137</v>
      </c>
      <c r="C15" s="42">
        <f>-132+55-30-1000</f>
        <v>-1107</v>
      </c>
      <c r="D15" s="42">
        <f>SUM(B15:C15)</f>
        <v>15030</v>
      </c>
      <c r="E15" s="42">
        <v>4255</v>
      </c>
      <c r="F15" s="42"/>
      <c r="G15" s="42">
        <f>SUM(E15:F15)</f>
        <v>4255</v>
      </c>
      <c r="H15" s="42">
        <v>35171</v>
      </c>
      <c r="I15" s="42">
        <v>237</v>
      </c>
      <c r="J15" s="42">
        <f>SUM(H15:I15)</f>
        <v>35408</v>
      </c>
      <c r="K15" s="42">
        <v>30634</v>
      </c>
      <c r="L15" s="42">
        <f>-64+91+188</f>
        <v>215</v>
      </c>
      <c r="M15" s="42">
        <f>SUM(K15:L15)</f>
        <v>30849</v>
      </c>
    </row>
    <row r="16" spans="1:13" ht="22.5">
      <c r="A16" s="829" t="s">
        <v>281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158" t="s">
        <v>665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s="825" customFormat="1" ht="12.75">
      <c r="A18" s="160" t="s">
        <v>376</v>
      </c>
      <c r="B18" s="37">
        <f aca="true" t="shared" si="0" ref="B18:M18">SUM(B13:B17)</f>
        <v>34499</v>
      </c>
      <c r="C18" s="37">
        <f t="shared" si="0"/>
        <v>-382</v>
      </c>
      <c r="D18" s="37">
        <f t="shared" si="0"/>
        <v>34117</v>
      </c>
      <c r="E18" s="37">
        <f t="shared" si="0"/>
        <v>17512</v>
      </c>
      <c r="F18" s="37">
        <f t="shared" si="0"/>
        <v>631</v>
      </c>
      <c r="G18" s="37">
        <f t="shared" si="0"/>
        <v>18143</v>
      </c>
      <c r="H18" s="37">
        <f t="shared" si="0"/>
        <v>137625</v>
      </c>
      <c r="I18" s="37">
        <f t="shared" si="0"/>
        <v>3870</v>
      </c>
      <c r="J18" s="37">
        <f t="shared" si="0"/>
        <v>141495</v>
      </c>
      <c r="K18" s="37">
        <f t="shared" si="0"/>
        <v>137594</v>
      </c>
      <c r="L18" s="37">
        <f t="shared" si="0"/>
        <v>3921</v>
      </c>
      <c r="M18" s="37">
        <f t="shared" si="0"/>
        <v>141515</v>
      </c>
    </row>
    <row r="19" spans="1:13" ht="12.75">
      <c r="A19" s="158" t="s">
        <v>423</v>
      </c>
      <c r="B19" s="42"/>
      <c r="C19" s="42"/>
      <c r="D19" s="42">
        <f>SUM(B19:C19)</f>
        <v>0</v>
      </c>
      <c r="E19" s="42"/>
      <c r="F19" s="42"/>
      <c r="G19" s="42">
        <f>SUM(E19:F19)</f>
        <v>0</v>
      </c>
      <c r="H19" s="42"/>
      <c r="I19" s="42">
        <f>32900+22200</f>
        <v>55100</v>
      </c>
      <c r="J19" s="42">
        <f>SUM(H19:I19)</f>
        <v>55100</v>
      </c>
      <c r="K19" s="42">
        <v>8502</v>
      </c>
      <c r="L19" s="42">
        <f>39+940+-55+12000</f>
        <v>12924</v>
      </c>
      <c r="M19" s="42">
        <f>SUM(K19:L19)</f>
        <v>21426</v>
      </c>
    </row>
    <row r="20" spans="1:13" ht="12.75">
      <c r="A20" s="158" t="s">
        <v>424</v>
      </c>
      <c r="B20" s="42">
        <v>949</v>
      </c>
      <c r="C20" s="42"/>
      <c r="D20" s="42">
        <f>SUM(B20:C20)</f>
        <v>949</v>
      </c>
      <c r="E20" s="42">
        <v>158</v>
      </c>
      <c r="F20" s="42"/>
      <c r="G20" s="42">
        <f>SUM(E20:F20)</f>
        <v>158</v>
      </c>
      <c r="H20" s="42"/>
      <c r="I20" s="42"/>
      <c r="J20" s="42">
        <f>SUM(H20:I20)</f>
        <v>0</v>
      </c>
      <c r="K20" s="42"/>
      <c r="L20" s="42">
        <v>64</v>
      </c>
      <c r="M20" s="42">
        <f>SUM(K20:L20)</f>
        <v>64</v>
      </c>
    </row>
    <row r="21" spans="1:13" ht="24">
      <c r="A21" s="47" t="s">
        <v>422</v>
      </c>
      <c r="B21" s="42"/>
      <c r="C21" s="42"/>
      <c r="D21" s="42">
        <f>SUM(B21:C21)</f>
        <v>0</v>
      </c>
      <c r="E21" s="42"/>
      <c r="F21" s="42"/>
      <c r="G21" s="42">
        <f>SUM(E21:F21)</f>
        <v>0</v>
      </c>
      <c r="H21" s="42"/>
      <c r="I21" s="42"/>
      <c r="J21" s="42">
        <f>SUM(H21:I21)</f>
        <v>0</v>
      </c>
      <c r="K21" s="42"/>
      <c r="L21" s="42"/>
      <c r="M21" s="42">
        <f>SUM(K21:L21)</f>
        <v>0</v>
      </c>
    </row>
    <row r="22" spans="1:13" s="825" customFormat="1" ht="12.75">
      <c r="A22" s="160" t="s">
        <v>83</v>
      </c>
      <c r="B22" s="37">
        <f aca="true" t="shared" si="1" ref="B22:M22">SUM(B19:B21)</f>
        <v>949</v>
      </c>
      <c r="C22" s="37">
        <f t="shared" si="1"/>
        <v>0</v>
      </c>
      <c r="D22" s="37">
        <f t="shared" si="1"/>
        <v>949</v>
      </c>
      <c r="E22" s="37">
        <f t="shared" si="1"/>
        <v>158</v>
      </c>
      <c r="F22" s="37">
        <f t="shared" si="1"/>
        <v>0</v>
      </c>
      <c r="G22" s="37">
        <f t="shared" si="1"/>
        <v>158</v>
      </c>
      <c r="H22" s="37">
        <f t="shared" si="1"/>
        <v>0</v>
      </c>
      <c r="I22" s="37">
        <f t="shared" si="1"/>
        <v>55100</v>
      </c>
      <c r="J22" s="37">
        <f t="shared" si="1"/>
        <v>55100</v>
      </c>
      <c r="K22" s="37">
        <f t="shared" si="1"/>
        <v>8502</v>
      </c>
      <c r="L22" s="37">
        <f t="shared" si="1"/>
        <v>12988</v>
      </c>
      <c r="M22" s="37">
        <f t="shared" si="1"/>
        <v>21490</v>
      </c>
    </row>
    <row r="23" spans="1:13" s="825" customFormat="1" ht="12.75">
      <c r="A23" s="162" t="s">
        <v>84</v>
      </c>
      <c r="B23" s="37">
        <f aca="true" t="shared" si="2" ref="B23:M23">SUM(B18+B22)</f>
        <v>35448</v>
      </c>
      <c r="C23" s="37">
        <f t="shared" si="2"/>
        <v>-382</v>
      </c>
      <c r="D23" s="37">
        <f t="shared" si="2"/>
        <v>35066</v>
      </c>
      <c r="E23" s="37">
        <f t="shared" si="2"/>
        <v>17670</v>
      </c>
      <c r="F23" s="37">
        <f t="shared" si="2"/>
        <v>631</v>
      </c>
      <c r="G23" s="37">
        <f t="shared" si="2"/>
        <v>18301</v>
      </c>
      <c r="H23" s="37">
        <f t="shared" si="2"/>
        <v>137625</v>
      </c>
      <c r="I23" s="37">
        <f t="shared" si="2"/>
        <v>58970</v>
      </c>
      <c r="J23" s="37">
        <f t="shared" si="2"/>
        <v>196595</v>
      </c>
      <c r="K23" s="37">
        <f t="shared" si="2"/>
        <v>146096</v>
      </c>
      <c r="L23" s="37">
        <f t="shared" si="2"/>
        <v>16909</v>
      </c>
      <c r="M23" s="37">
        <f t="shared" si="2"/>
        <v>163005</v>
      </c>
    </row>
    <row r="24" spans="1:13" s="825" customFormat="1" ht="12.75">
      <c r="A24" s="160" t="s">
        <v>85</v>
      </c>
      <c r="B24" s="37"/>
      <c r="C24" s="37"/>
      <c r="D24" s="42">
        <f aca="true" t="shared" si="3" ref="D24:D33">SUM(B24:C24)</f>
        <v>0</v>
      </c>
      <c r="E24" s="37"/>
      <c r="F24" s="37"/>
      <c r="G24" s="42">
        <f aca="true" t="shared" si="4" ref="G24:G33">SUM(E24:F24)</f>
        <v>0</v>
      </c>
      <c r="H24" s="37"/>
      <c r="I24" s="37"/>
      <c r="J24" s="42">
        <f aca="true" t="shared" si="5" ref="J24:J33">SUM(H24:I24)</f>
        <v>0</v>
      </c>
      <c r="K24" s="37"/>
      <c r="L24" s="37"/>
      <c r="M24" s="42">
        <f aca="true" t="shared" si="6" ref="M24:M33">SUM(K24:L24)</f>
        <v>0</v>
      </c>
    </row>
    <row r="25" spans="1:13" ht="22.5">
      <c r="A25" s="829" t="s">
        <v>282</v>
      </c>
      <c r="B25" s="42"/>
      <c r="C25" s="42"/>
      <c r="D25" s="42">
        <f t="shared" si="3"/>
        <v>0</v>
      </c>
      <c r="E25" s="42"/>
      <c r="F25" s="42"/>
      <c r="G25" s="42">
        <f t="shared" si="4"/>
        <v>0</v>
      </c>
      <c r="H25" s="42"/>
      <c r="I25" s="42"/>
      <c r="J25" s="42">
        <f t="shared" si="5"/>
        <v>0</v>
      </c>
      <c r="K25" s="42"/>
      <c r="L25" s="42"/>
      <c r="M25" s="42">
        <f t="shared" si="6"/>
        <v>0</v>
      </c>
    </row>
    <row r="26" spans="1:13" ht="22.5">
      <c r="A26" s="829" t="s">
        <v>289</v>
      </c>
      <c r="B26" s="42"/>
      <c r="C26" s="42"/>
      <c r="D26" s="42">
        <f t="shared" si="3"/>
        <v>0</v>
      </c>
      <c r="E26" s="42"/>
      <c r="F26" s="42"/>
      <c r="G26" s="42">
        <f t="shared" si="4"/>
        <v>0</v>
      </c>
      <c r="H26" s="42">
        <v>6716</v>
      </c>
      <c r="I26" s="42"/>
      <c r="J26" s="42">
        <f t="shared" si="5"/>
        <v>6716</v>
      </c>
      <c r="K26" s="42">
        <v>8903</v>
      </c>
      <c r="L26" s="42"/>
      <c r="M26" s="42">
        <f t="shared" si="6"/>
        <v>8903</v>
      </c>
    </row>
    <row r="27" spans="1:13" ht="12.75">
      <c r="A27" s="158" t="s">
        <v>290</v>
      </c>
      <c r="B27" s="42"/>
      <c r="C27" s="42"/>
      <c r="D27" s="42">
        <f t="shared" si="3"/>
        <v>0</v>
      </c>
      <c r="E27" s="42"/>
      <c r="F27" s="42"/>
      <c r="G27" s="42">
        <f t="shared" si="4"/>
        <v>0</v>
      </c>
      <c r="H27" s="42"/>
      <c r="I27" s="42"/>
      <c r="J27" s="42">
        <f t="shared" si="5"/>
        <v>0</v>
      </c>
      <c r="K27" s="42"/>
      <c r="L27" s="42"/>
      <c r="M27" s="42">
        <f t="shared" si="6"/>
        <v>0</v>
      </c>
    </row>
    <row r="28" spans="1:13" ht="12.75">
      <c r="A28" s="158" t="s">
        <v>666</v>
      </c>
      <c r="B28" s="42"/>
      <c r="C28" s="42"/>
      <c r="D28" s="42">
        <f t="shared" si="3"/>
        <v>0</v>
      </c>
      <c r="E28" s="42"/>
      <c r="F28" s="42"/>
      <c r="G28" s="42">
        <f t="shared" si="4"/>
        <v>0</v>
      </c>
      <c r="H28" s="42">
        <v>1295</v>
      </c>
      <c r="I28" s="42"/>
      <c r="J28" s="42">
        <f t="shared" si="5"/>
        <v>1295</v>
      </c>
      <c r="K28" s="42">
        <v>1765</v>
      </c>
      <c r="L28" s="42"/>
      <c r="M28" s="42">
        <f t="shared" si="6"/>
        <v>1765</v>
      </c>
    </row>
    <row r="29" spans="1:13" ht="12.75">
      <c r="A29" s="158" t="s">
        <v>667</v>
      </c>
      <c r="B29" s="42"/>
      <c r="C29" s="42"/>
      <c r="D29" s="42">
        <f t="shared" si="3"/>
        <v>0</v>
      </c>
      <c r="E29" s="42"/>
      <c r="F29" s="42"/>
      <c r="G29" s="42">
        <f t="shared" si="4"/>
        <v>0</v>
      </c>
      <c r="H29" s="42"/>
      <c r="I29" s="42"/>
      <c r="J29" s="42">
        <f t="shared" si="5"/>
        <v>0</v>
      </c>
      <c r="K29" s="42"/>
      <c r="L29" s="42"/>
      <c r="M29" s="42">
        <f t="shared" si="6"/>
        <v>0</v>
      </c>
    </row>
    <row r="30" spans="1:13" ht="22.5">
      <c r="A30" s="829" t="s">
        <v>417</v>
      </c>
      <c r="B30" s="42"/>
      <c r="C30" s="42"/>
      <c r="D30" s="42">
        <f t="shared" si="3"/>
        <v>0</v>
      </c>
      <c r="E30" s="42"/>
      <c r="F30" s="42"/>
      <c r="G30" s="42">
        <f t="shared" si="4"/>
        <v>0</v>
      </c>
      <c r="H30" s="42">
        <v>309</v>
      </c>
      <c r="I30" s="42"/>
      <c r="J30" s="42">
        <f t="shared" si="5"/>
        <v>309</v>
      </c>
      <c r="K30" s="42">
        <v>159</v>
      </c>
      <c r="L30" s="42"/>
      <c r="M30" s="42">
        <f t="shared" si="6"/>
        <v>159</v>
      </c>
    </row>
    <row r="31" spans="1:13" ht="22.5">
      <c r="A31" s="830" t="s">
        <v>418</v>
      </c>
      <c r="B31" s="42"/>
      <c r="C31" s="42"/>
      <c r="D31" s="42">
        <f t="shared" si="3"/>
        <v>0</v>
      </c>
      <c r="E31" s="42"/>
      <c r="F31" s="42"/>
      <c r="G31" s="42">
        <f t="shared" si="4"/>
        <v>0</v>
      </c>
      <c r="H31" s="42"/>
      <c r="I31" s="42"/>
      <c r="J31" s="42">
        <f t="shared" si="5"/>
        <v>0</v>
      </c>
      <c r="K31" s="42"/>
      <c r="L31" s="42"/>
      <c r="M31" s="42">
        <f t="shared" si="6"/>
        <v>0</v>
      </c>
    </row>
    <row r="32" spans="1:13" ht="12.75">
      <c r="A32" s="158" t="s">
        <v>419</v>
      </c>
      <c r="B32" s="42"/>
      <c r="C32" s="42"/>
      <c r="D32" s="42">
        <f t="shared" si="3"/>
        <v>0</v>
      </c>
      <c r="E32" s="42"/>
      <c r="F32" s="42"/>
      <c r="G32" s="42">
        <f t="shared" si="4"/>
        <v>0</v>
      </c>
      <c r="H32" s="42"/>
      <c r="I32" s="42"/>
      <c r="J32" s="42">
        <f t="shared" si="5"/>
        <v>0</v>
      </c>
      <c r="K32" s="42"/>
      <c r="L32" s="42"/>
      <c r="M32" s="42">
        <f t="shared" si="6"/>
        <v>0</v>
      </c>
    </row>
    <row r="33" spans="1:13" ht="12.75">
      <c r="A33" s="158" t="s">
        <v>420</v>
      </c>
      <c r="B33" s="42">
        <v>765</v>
      </c>
      <c r="C33" s="42"/>
      <c r="D33" s="42">
        <f t="shared" si="3"/>
        <v>765</v>
      </c>
      <c r="E33" s="42">
        <v>246</v>
      </c>
      <c r="F33" s="42"/>
      <c r="G33" s="42">
        <f t="shared" si="4"/>
        <v>246</v>
      </c>
      <c r="H33" s="42">
        <v>1244</v>
      </c>
      <c r="I33" s="42"/>
      <c r="J33" s="42">
        <f t="shared" si="5"/>
        <v>1244</v>
      </c>
      <c r="K33" s="42">
        <v>2091</v>
      </c>
      <c r="L33" s="42"/>
      <c r="M33" s="42">
        <f t="shared" si="6"/>
        <v>2091</v>
      </c>
    </row>
    <row r="34" spans="1:13" ht="12.75">
      <c r="A34" s="158" t="s">
        <v>421</v>
      </c>
      <c r="B34" s="42">
        <f aca="true" t="shared" si="7" ref="B34:M34">+B23-B25-B26-B27-B28-B30-B31-B32-B33-B29</f>
        <v>34683</v>
      </c>
      <c r="C34" s="42">
        <f t="shared" si="7"/>
        <v>-382</v>
      </c>
      <c r="D34" s="42">
        <f t="shared" si="7"/>
        <v>34301</v>
      </c>
      <c r="E34" s="42">
        <f t="shared" si="7"/>
        <v>17424</v>
      </c>
      <c r="F34" s="42">
        <f t="shared" si="7"/>
        <v>631</v>
      </c>
      <c r="G34" s="42">
        <f t="shared" si="7"/>
        <v>18055</v>
      </c>
      <c r="H34" s="42">
        <f t="shared" si="7"/>
        <v>128061</v>
      </c>
      <c r="I34" s="42">
        <f t="shared" si="7"/>
        <v>58970</v>
      </c>
      <c r="J34" s="42">
        <f t="shared" si="7"/>
        <v>187031</v>
      </c>
      <c r="K34" s="42">
        <f t="shared" si="7"/>
        <v>133178</v>
      </c>
      <c r="L34" s="42">
        <f t="shared" si="7"/>
        <v>16909</v>
      </c>
      <c r="M34" s="42">
        <f t="shared" si="7"/>
        <v>150087</v>
      </c>
    </row>
    <row r="35" spans="1:13" ht="12.75">
      <c r="A35" s="826" t="s">
        <v>66</v>
      </c>
      <c r="B35" s="42">
        <v>13996</v>
      </c>
      <c r="C35" s="42"/>
      <c r="D35" s="42">
        <f>SUM(B35:C35)</f>
        <v>13996</v>
      </c>
      <c r="E35" s="42"/>
      <c r="F35" s="42"/>
      <c r="G35" s="42">
        <f>SUM(E35:F35)</f>
        <v>0</v>
      </c>
      <c r="H35" s="42">
        <v>50422</v>
      </c>
      <c r="I35" s="42"/>
      <c r="J35" s="42">
        <f>SUM(H35:I35)</f>
        <v>50422</v>
      </c>
      <c r="K35" s="42">
        <v>51775</v>
      </c>
      <c r="L35" s="42"/>
      <c r="M35" s="42">
        <f>SUM(K35:L35)</f>
        <v>51775</v>
      </c>
    </row>
    <row r="36" spans="1:13" ht="12.75" customHeight="1">
      <c r="A36" s="798" t="s">
        <v>673</v>
      </c>
      <c r="B36" s="42"/>
      <c r="C36" s="42"/>
      <c r="D36" s="42">
        <f>SUM(B36:C36)</f>
        <v>0</v>
      </c>
      <c r="E36" s="42"/>
      <c r="F36" s="42"/>
      <c r="G36" s="42">
        <f>SUM(E36:F36)</f>
        <v>0</v>
      </c>
      <c r="H36" s="42"/>
      <c r="I36" s="42"/>
      <c r="J36" s="42">
        <f>SUM(H36:I36)</f>
        <v>0</v>
      </c>
      <c r="K36" s="42"/>
      <c r="L36" s="42"/>
      <c r="M36" s="42">
        <f>SUM(K36:L36)</f>
        <v>0</v>
      </c>
    </row>
    <row r="37" spans="1:13" s="825" customFormat="1" ht="12.75">
      <c r="A37" s="162" t="s">
        <v>396</v>
      </c>
      <c r="B37" s="37">
        <f aca="true" t="shared" si="8" ref="B37:M37">SUM(B25:B34)</f>
        <v>35448</v>
      </c>
      <c r="C37" s="37">
        <f t="shared" si="8"/>
        <v>-382</v>
      </c>
      <c r="D37" s="37">
        <f t="shared" si="8"/>
        <v>35066</v>
      </c>
      <c r="E37" s="37">
        <f t="shared" si="8"/>
        <v>17670</v>
      </c>
      <c r="F37" s="37">
        <f t="shared" si="8"/>
        <v>631</v>
      </c>
      <c r="G37" s="37">
        <f t="shared" si="8"/>
        <v>18301</v>
      </c>
      <c r="H37" s="37">
        <f t="shared" si="8"/>
        <v>137625</v>
      </c>
      <c r="I37" s="37">
        <f t="shared" si="8"/>
        <v>58970</v>
      </c>
      <c r="J37" s="37">
        <f t="shared" si="8"/>
        <v>196595</v>
      </c>
      <c r="K37" s="37">
        <f t="shared" si="8"/>
        <v>146096</v>
      </c>
      <c r="L37" s="37">
        <f t="shared" si="8"/>
        <v>16909</v>
      </c>
      <c r="M37" s="37">
        <f t="shared" si="8"/>
        <v>163005</v>
      </c>
    </row>
    <row r="39" spans="2:11" ht="12.75">
      <c r="B39" s="827"/>
      <c r="E39" s="827"/>
      <c r="H39" s="827"/>
      <c r="K39" s="827"/>
    </row>
  </sheetData>
  <mergeCells count="1">
    <mergeCell ref="L3:M3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&amp;C&amp;"Times New Roman,Normál"2&amp;R&amp;"Times New Roman,Normál"6/a.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10" topLeftCell="B11" activePane="bottomRight" state="frozen"/>
      <selection pane="topLeft" activeCell="C4" sqref="C4"/>
      <selection pane="topRight" activeCell="C4" sqref="C4"/>
      <selection pane="bottomLeft" activeCell="C4" sqref="C4"/>
      <selection pane="bottomRight" activeCell="D20" sqref="D20"/>
    </sheetView>
  </sheetViews>
  <sheetFormatPr defaultColWidth="9.140625" defaultRowHeight="12.75"/>
  <cols>
    <col min="1" max="1" width="28.8515625" style="168" customWidth="1"/>
    <col min="2" max="2" width="10.00390625" style="168" customWidth="1"/>
    <col min="3" max="3" width="7.8515625" style="168" customWidth="1"/>
    <col min="4" max="4" width="9.421875" style="168" bestFit="1" customWidth="1"/>
    <col min="5" max="5" width="10.421875" style="168" customWidth="1"/>
    <col min="6" max="6" width="7.28125" style="168" customWidth="1"/>
    <col min="7" max="7" width="9.421875" style="168" bestFit="1" customWidth="1"/>
    <col min="8" max="8" width="10.140625" style="168" customWidth="1"/>
    <col min="9" max="9" width="7.57421875" style="168" customWidth="1"/>
    <col min="10" max="10" width="9.421875" style="168" bestFit="1" customWidth="1"/>
    <col min="11" max="11" width="10.28125" style="168" customWidth="1"/>
    <col min="12" max="12" width="7.57421875" style="168" customWidth="1"/>
    <col min="13" max="13" width="9.421875" style="168" bestFit="1" customWidth="1"/>
    <col min="14" max="16384" width="9.140625" style="808" customWidth="1"/>
  </cols>
  <sheetData>
    <row r="2" spans="1:13" ht="18.75">
      <c r="A2" s="809" t="s">
        <v>659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</row>
    <row r="3" spans="12:13" ht="12.75">
      <c r="L3" s="883" t="s">
        <v>377</v>
      </c>
      <c r="M3" s="883"/>
    </row>
    <row r="4" spans="1:13" ht="12.75">
      <c r="A4" s="811" t="s">
        <v>402</v>
      </c>
      <c r="B4" s="812">
        <v>9</v>
      </c>
      <c r="C4" s="813"/>
      <c r="D4" s="814"/>
      <c r="E4" s="812">
        <v>10</v>
      </c>
      <c r="F4" s="813"/>
      <c r="G4" s="814"/>
      <c r="H4" s="812">
        <v>11</v>
      </c>
      <c r="I4" s="813"/>
      <c r="J4" s="814"/>
      <c r="K4" s="812">
        <v>12</v>
      </c>
      <c r="L4" s="813"/>
      <c r="M4" s="814"/>
    </row>
    <row r="5" spans="1:13" ht="12.75">
      <c r="A5" s="811" t="s">
        <v>170</v>
      </c>
      <c r="B5" s="811"/>
      <c r="C5" s="815"/>
      <c r="D5" s="801"/>
      <c r="E5" s="811"/>
      <c r="F5" s="816"/>
      <c r="G5" s="817"/>
      <c r="H5" s="818"/>
      <c r="I5" s="816"/>
      <c r="J5" s="817"/>
      <c r="K5" s="818"/>
      <c r="L5" s="816"/>
      <c r="M5" s="817"/>
    </row>
    <row r="6" spans="1:13" ht="12.75">
      <c r="A6" s="811" t="s">
        <v>403</v>
      </c>
      <c r="B6" s="812" t="s">
        <v>674</v>
      </c>
      <c r="C6" s="813"/>
      <c r="D6" s="814"/>
      <c r="E6" s="812" t="s">
        <v>675</v>
      </c>
      <c r="F6" s="813"/>
      <c r="G6" s="814"/>
      <c r="H6" s="812" t="s">
        <v>676</v>
      </c>
      <c r="I6" s="813"/>
      <c r="J6" s="814"/>
      <c r="K6" s="812" t="s">
        <v>677</v>
      </c>
      <c r="L6" s="813"/>
      <c r="M6" s="814"/>
    </row>
    <row r="7" spans="1:13" ht="12.75">
      <c r="A7" s="811" t="s">
        <v>404</v>
      </c>
      <c r="B7" s="812">
        <v>801115</v>
      </c>
      <c r="C7" s="813"/>
      <c r="D7" s="814"/>
      <c r="E7" s="812">
        <v>801115</v>
      </c>
      <c r="F7" s="813"/>
      <c r="G7" s="814"/>
      <c r="H7" s="812">
        <v>801115</v>
      </c>
      <c r="I7" s="813"/>
      <c r="J7" s="814"/>
      <c r="K7" s="812">
        <v>801115</v>
      </c>
      <c r="L7" s="813"/>
      <c r="M7" s="814"/>
    </row>
    <row r="8" spans="1:13" ht="12.75">
      <c r="A8" s="820" t="s">
        <v>405</v>
      </c>
      <c r="B8" s="821" t="s">
        <v>406</v>
      </c>
      <c r="C8" s="822"/>
      <c r="D8" s="823"/>
      <c r="E8" s="821"/>
      <c r="F8" s="822"/>
      <c r="G8" s="823"/>
      <c r="H8" s="821"/>
      <c r="I8" s="822"/>
      <c r="J8" s="823"/>
      <c r="K8" s="821"/>
      <c r="L8" s="822"/>
      <c r="M8" s="823"/>
    </row>
    <row r="9" spans="1:13" s="25" customFormat="1" ht="33.75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0.5" customHeight="1">
      <c r="A10" s="118" t="s">
        <v>208</v>
      </c>
      <c r="B10" s="824" t="s">
        <v>209</v>
      </c>
      <c r="C10" s="100" t="s">
        <v>210</v>
      </c>
      <c r="D10" s="100" t="s">
        <v>182</v>
      </c>
      <c r="E10" s="100" t="s">
        <v>183</v>
      </c>
      <c r="F10" s="100" t="s">
        <v>184</v>
      </c>
      <c r="G10" s="100" t="s">
        <v>185</v>
      </c>
      <c r="H10" s="100" t="s">
        <v>186</v>
      </c>
      <c r="I10" s="100" t="s">
        <v>187</v>
      </c>
      <c r="J10" s="100" t="s">
        <v>188</v>
      </c>
      <c r="K10" s="100" t="s">
        <v>189</v>
      </c>
      <c r="L10" s="100" t="s">
        <v>190</v>
      </c>
      <c r="M10" s="100" t="s">
        <v>191</v>
      </c>
    </row>
    <row r="11" spans="1:13" ht="12.75">
      <c r="A11" s="158" t="s">
        <v>408</v>
      </c>
      <c r="B11" s="101">
        <v>29</v>
      </c>
      <c r="C11" s="101"/>
      <c r="D11" s="101">
        <f>SUM(B11:C11)</f>
        <v>29</v>
      </c>
      <c r="E11" s="101">
        <v>32</v>
      </c>
      <c r="F11" s="101"/>
      <c r="G11" s="101">
        <f>SUM(E11:F11)</f>
        <v>32</v>
      </c>
      <c r="H11" s="101">
        <v>23</v>
      </c>
      <c r="I11" s="101"/>
      <c r="J11" s="101">
        <f>SUM(H11:I11)</f>
        <v>23</v>
      </c>
      <c r="K11" s="101">
        <v>24</v>
      </c>
      <c r="L11" s="101"/>
      <c r="M11" s="101">
        <f>SUM(K11:L11)</f>
        <v>24</v>
      </c>
    </row>
    <row r="12" spans="1:13" s="825" customFormat="1" ht="12.75">
      <c r="A12" s="160" t="s">
        <v>409</v>
      </c>
      <c r="B12" s="37"/>
      <c r="C12" s="37"/>
      <c r="D12" s="101"/>
      <c r="E12" s="37"/>
      <c r="F12" s="37"/>
      <c r="G12" s="101"/>
      <c r="H12" s="37"/>
      <c r="I12" s="37"/>
      <c r="J12" s="101"/>
      <c r="K12" s="37"/>
      <c r="L12" s="37"/>
      <c r="M12" s="101"/>
    </row>
    <row r="13" spans="1:13" ht="12.75">
      <c r="A13" s="158" t="s">
        <v>410</v>
      </c>
      <c r="B13" s="42">
        <v>60859</v>
      </c>
      <c r="C13" s="42">
        <f>250+1927</f>
        <v>2177</v>
      </c>
      <c r="D13" s="42">
        <f>SUM(B13:C13)</f>
        <v>63036</v>
      </c>
      <c r="E13" s="42">
        <v>65491</v>
      </c>
      <c r="F13" s="42">
        <f>250+2219</f>
        <v>2469</v>
      </c>
      <c r="G13" s="42">
        <f>SUM(E13:F13)</f>
        <v>67960</v>
      </c>
      <c r="H13" s="42">
        <v>44085</v>
      </c>
      <c r="I13" s="42">
        <f>250+1605</f>
        <v>1855</v>
      </c>
      <c r="J13" s="42">
        <f>SUM(H13:I13)</f>
        <v>45940</v>
      </c>
      <c r="K13" s="42">
        <v>47762</v>
      </c>
      <c r="L13" s="42">
        <f>250+1604</f>
        <v>1854</v>
      </c>
      <c r="M13" s="42">
        <f>SUM(K13:L13)</f>
        <v>49616</v>
      </c>
    </row>
    <row r="14" spans="1:13" ht="12.75">
      <c r="A14" s="158" t="s">
        <v>374</v>
      </c>
      <c r="B14" s="42">
        <v>19588</v>
      </c>
      <c r="C14" s="42">
        <f>72+558+8+58</f>
        <v>696</v>
      </c>
      <c r="D14" s="42">
        <f>SUM(B14:C14)</f>
        <v>20284</v>
      </c>
      <c r="E14" s="42">
        <v>21207</v>
      </c>
      <c r="F14" s="42">
        <f>72+644+8+66</f>
        <v>790</v>
      </c>
      <c r="G14" s="42">
        <f>SUM(E14:F14)</f>
        <v>21997</v>
      </c>
      <c r="H14" s="42">
        <v>14268</v>
      </c>
      <c r="I14" s="42">
        <f>72+467+8+49</f>
        <v>596</v>
      </c>
      <c r="J14" s="42">
        <f>SUM(H14:I14)</f>
        <v>14864</v>
      </c>
      <c r="K14" s="42">
        <v>15507</v>
      </c>
      <c r="L14" s="42">
        <f>72+465+8+48</f>
        <v>593</v>
      </c>
      <c r="M14" s="42">
        <f>SUM(K14:L14)</f>
        <v>16100</v>
      </c>
    </row>
    <row r="15" spans="1:13" ht="12.75">
      <c r="A15" s="158" t="s">
        <v>375</v>
      </c>
      <c r="B15" s="42">
        <v>33839</v>
      </c>
      <c r="C15" s="42">
        <f>300+75</f>
        <v>375</v>
      </c>
      <c r="D15" s="42">
        <f>SUM(B15:C15)</f>
        <v>34214</v>
      </c>
      <c r="E15" s="42">
        <v>30072</v>
      </c>
      <c r="F15" s="42">
        <f>186+188</f>
        <v>374</v>
      </c>
      <c r="G15" s="42">
        <f>SUM(E15:F15)</f>
        <v>30446</v>
      </c>
      <c r="H15" s="42">
        <v>21573</v>
      </c>
      <c r="I15" s="42">
        <f>-505+7500+63</f>
        <v>7058</v>
      </c>
      <c r="J15" s="42">
        <f>SUM(H15:I15)</f>
        <v>28631</v>
      </c>
      <c r="K15" s="42">
        <v>26355</v>
      </c>
      <c r="L15" s="42">
        <f>-856+565+175</f>
        <v>-116</v>
      </c>
      <c r="M15" s="42">
        <f>SUM(K15:L15)</f>
        <v>26239</v>
      </c>
    </row>
    <row r="16" spans="1:13" ht="22.5">
      <c r="A16" s="829" t="s">
        <v>281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158" t="s">
        <v>665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s="825" customFormat="1" ht="12.75">
      <c r="A18" s="160" t="s">
        <v>376</v>
      </c>
      <c r="B18" s="37">
        <f aca="true" t="shared" si="0" ref="B18:M18">SUM(B13:B17)</f>
        <v>114286</v>
      </c>
      <c r="C18" s="37">
        <f t="shared" si="0"/>
        <v>3248</v>
      </c>
      <c r="D18" s="37">
        <f t="shared" si="0"/>
        <v>117534</v>
      </c>
      <c r="E18" s="37">
        <f t="shared" si="0"/>
        <v>116770</v>
      </c>
      <c r="F18" s="37">
        <f t="shared" si="0"/>
        <v>3633</v>
      </c>
      <c r="G18" s="37">
        <f t="shared" si="0"/>
        <v>120403</v>
      </c>
      <c r="H18" s="37">
        <f t="shared" si="0"/>
        <v>79926</v>
      </c>
      <c r="I18" s="37">
        <f t="shared" si="0"/>
        <v>9509</v>
      </c>
      <c r="J18" s="37">
        <f t="shared" si="0"/>
        <v>89435</v>
      </c>
      <c r="K18" s="37">
        <f t="shared" si="0"/>
        <v>89624</v>
      </c>
      <c r="L18" s="37">
        <f t="shared" si="0"/>
        <v>2331</v>
      </c>
      <c r="M18" s="37">
        <f t="shared" si="0"/>
        <v>91955</v>
      </c>
    </row>
    <row r="19" spans="1:13" ht="12.75">
      <c r="A19" s="158" t="s">
        <v>423</v>
      </c>
      <c r="B19" s="42">
        <v>8925</v>
      </c>
      <c r="C19" s="42">
        <f>39+-71</f>
        <v>-32</v>
      </c>
      <c r="D19" s="42">
        <f>SUM(B19:C19)</f>
        <v>8893</v>
      </c>
      <c r="E19" s="42"/>
      <c r="F19" s="42">
        <f>13400+9200</f>
        <v>22600</v>
      </c>
      <c r="G19" s="42">
        <f>SUM(E19:F19)</f>
        <v>22600</v>
      </c>
      <c r="H19" s="42">
        <v>4000</v>
      </c>
      <c r="I19" s="42">
        <f>+-3967+-33</f>
        <v>-4000</v>
      </c>
      <c r="J19" s="42">
        <f>SUM(H19:I19)</f>
        <v>0</v>
      </c>
      <c r="K19" s="42">
        <v>970</v>
      </c>
      <c r="L19" s="42">
        <v>108</v>
      </c>
      <c r="M19" s="42">
        <f>SUM(K19:L19)</f>
        <v>1078</v>
      </c>
    </row>
    <row r="20" spans="1:13" ht="12.75">
      <c r="A20" s="158" t="s">
        <v>424</v>
      </c>
      <c r="B20" s="42">
        <v>185</v>
      </c>
      <c r="C20" s="42"/>
      <c r="D20" s="42">
        <f>SUM(B20:C20)</f>
        <v>185</v>
      </c>
      <c r="E20" s="42">
        <v>75</v>
      </c>
      <c r="F20" s="42"/>
      <c r="G20" s="42">
        <f>SUM(E20:F20)</f>
        <v>75</v>
      </c>
      <c r="H20" s="42">
        <v>300</v>
      </c>
      <c r="I20" s="42">
        <f>505+3967</f>
        <v>4472</v>
      </c>
      <c r="J20" s="42">
        <f>SUM(H20:I20)</f>
        <v>4772</v>
      </c>
      <c r="K20" s="42">
        <v>856</v>
      </c>
      <c r="L20" s="42">
        <v>856</v>
      </c>
      <c r="M20" s="42">
        <f>SUM(K20:L20)</f>
        <v>1712</v>
      </c>
    </row>
    <row r="21" spans="1:13" ht="24">
      <c r="A21" s="47" t="s">
        <v>422</v>
      </c>
      <c r="B21" s="42"/>
      <c r="C21" s="42"/>
      <c r="D21" s="42">
        <f>SUM(B21:C21)</f>
        <v>0</v>
      </c>
      <c r="E21" s="42"/>
      <c r="F21" s="42"/>
      <c r="G21" s="42">
        <f>SUM(E21:F21)</f>
        <v>0</v>
      </c>
      <c r="H21" s="42"/>
      <c r="I21" s="42"/>
      <c r="J21" s="42">
        <f>SUM(H21:I21)</f>
        <v>0</v>
      </c>
      <c r="K21" s="42"/>
      <c r="L21" s="42"/>
      <c r="M21" s="42">
        <f>SUM(K21:L21)</f>
        <v>0</v>
      </c>
    </row>
    <row r="22" spans="1:13" s="825" customFormat="1" ht="12.75">
      <c r="A22" s="160" t="s">
        <v>83</v>
      </c>
      <c r="B22" s="37">
        <f aca="true" t="shared" si="1" ref="B22:M22">SUM(B19:B21)</f>
        <v>9110</v>
      </c>
      <c r="C22" s="37">
        <f t="shared" si="1"/>
        <v>-32</v>
      </c>
      <c r="D22" s="37">
        <f t="shared" si="1"/>
        <v>9078</v>
      </c>
      <c r="E22" s="37">
        <f t="shared" si="1"/>
        <v>75</v>
      </c>
      <c r="F22" s="37">
        <f t="shared" si="1"/>
        <v>22600</v>
      </c>
      <c r="G22" s="37">
        <f t="shared" si="1"/>
        <v>22675</v>
      </c>
      <c r="H22" s="37">
        <f t="shared" si="1"/>
        <v>4300</v>
      </c>
      <c r="I22" s="37">
        <f t="shared" si="1"/>
        <v>472</v>
      </c>
      <c r="J22" s="37">
        <f t="shared" si="1"/>
        <v>4772</v>
      </c>
      <c r="K22" s="37">
        <f t="shared" si="1"/>
        <v>1826</v>
      </c>
      <c r="L22" s="37">
        <f t="shared" si="1"/>
        <v>964</v>
      </c>
      <c r="M22" s="37">
        <f t="shared" si="1"/>
        <v>2790</v>
      </c>
    </row>
    <row r="23" spans="1:13" s="825" customFormat="1" ht="12.75">
      <c r="A23" s="162" t="s">
        <v>84</v>
      </c>
      <c r="B23" s="37">
        <f aca="true" t="shared" si="2" ref="B23:M23">SUM(B18+B22)</f>
        <v>123396</v>
      </c>
      <c r="C23" s="37">
        <f t="shared" si="2"/>
        <v>3216</v>
      </c>
      <c r="D23" s="37">
        <f t="shared" si="2"/>
        <v>126612</v>
      </c>
      <c r="E23" s="37">
        <f t="shared" si="2"/>
        <v>116845</v>
      </c>
      <c r="F23" s="37">
        <f t="shared" si="2"/>
        <v>26233</v>
      </c>
      <c r="G23" s="37">
        <f t="shared" si="2"/>
        <v>143078</v>
      </c>
      <c r="H23" s="37">
        <f t="shared" si="2"/>
        <v>84226</v>
      </c>
      <c r="I23" s="37">
        <f t="shared" si="2"/>
        <v>9981</v>
      </c>
      <c r="J23" s="37">
        <f t="shared" si="2"/>
        <v>94207</v>
      </c>
      <c r="K23" s="37">
        <f t="shared" si="2"/>
        <v>91450</v>
      </c>
      <c r="L23" s="37">
        <f t="shared" si="2"/>
        <v>3295</v>
      </c>
      <c r="M23" s="37">
        <f t="shared" si="2"/>
        <v>94745</v>
      </c>
    </row>
    <row r="24" spans="1:13" s="825" customFormat="1" ht="12.75">
      <c r="A24" s="160" t="s">
        <v>85</v>
      </c>
      <c r="B24" s="37"/>
      <c r="C24" s="37"/>
      <c r="D24" s="42">
        <f aca="true" t="shared" si="3" ref="D24:D33">SUM(B24:C24)</f>
        <v>0</v>
      </c>
      <c r="E24" s="37"/>
      <c r="F24" s="37"/>
      <c r="G24" s="42">
        <f aca="true" t="shared" si="4" ref="G24:G33">SUM(E24:F24)</f>
        <v>0</v>
      </c>
      <c r="H24" s="37"/>
      <c r="I24" s="37"/>
      <c r="J24" s="42">
        <f aca="true" t="shared" si="5" ref="J24:J33">SUM(H24:I24)</f>
        <v>0</v>
      </c>
      <c r="K24" s="37"/>
      <c r="L24" s="37"/>
      <c r="M24" s="42">
        <f aca="true" t="shared" si="6" ref="M24:M33">SUM(K24:L24)</f>
        <v>0</v>
      </c>
    </row>
    <row r="25" spans="1:13" ht="24">
      <c r="A25" s="47" t="s">
        <v>282</v>
      </c>
      <c r="B25" s="42"/>
      <c r="C25" s="42"/>
      <c r="D25" s="42">
        <f t="shared" si="3"/>
        <v>0</v>
      </c>
      <c r="E25" s="42"/>
      <c r="F25" s="42"/>
      <c r="G25" s="42">
        <f t="shared" si="4"/>
        <v>0</v>
      </c>
      <c r="H25" s="42"/>
      <c r="I25" s="42"/>
      <c r="J25" s="42">
        <f t="shared" si="5"/>
        <v>0</v>
      </c>
      <c r="K25" s="42"/>
      <c r="L25" s="42"/>
      <c r="M25" s="42">
        <f t="shared" si="6"/>
        <v>0</v>
      </c>
    </row>
    <row r="26" spans="1:13" ht="24">
      <c r="A26" s="47" t="s">
        <v>289</v>
      </c>
      <c r="B26" s="42">
        <v>6810</v>
      </c>
      <c r="C26" s="42"/>
      <c r="D26" s="42">
        <f t="shared" si="3"/>
        <v>6810</v>
      </c>
      <c r="E26" s="42">
        <v>8756</v>
      </c>
      <c r="F26" s="42"/>
      <c r="G26" s="42">
        <f t="shared" si="4"/>
        <v>8756</v>
      </c>
      <c r="H26" s="42">
        <v>6653</v>
      </c>
      <c r="I26" s="42"/>
      <c r="J26" s="42">
        <f t="shared" si="5"/>
        <v>6653</v>
      </c>
      <c r="K26" s="42">
        <v>7242</v>
      </c>
      <c r="L26" s="42"/>
      <c r="M26" s="42">
        <f t="shared" si="6"/>
        <v>7242</v>
      </c>
    </row>
    <row r="27" spans="1:13" ht="12.75">
      <c r="A27" s="158" t="s">
        <v>290</v>
      </c>
      <c r="B27" s="42"/>
      <c r="C27" s="42"/>
      <c r="D27" s="42">
        <f t="shared" si="3"/>
        <v>0</v>
      </c>
      <c r="E27" s="42"/>
      <c r="F27" s="42"/>
      <c r="G27" s="42">
        <f t="shared" si="4"/>
        <v>0</v>
      </c>
      <c r="H27" s="42"/>
      <c r="I27" s="42"/>
      <c r="J27" s="42">
        <f t="shared" si="5"/>
        <v>0</v>
      </c>
      <c r="K27" s="42"/>
      <c r="L27" s="42"/>
      <c r="M27" s="42">
        <f t="shared" si="6"/>
        <v>0</v>
      </c>
    </row>
    <row r="28" spans="1:13" ht="12.75">
      <c r="A28" s="158" t="s">
        <v>666</v>
      </c>
      <c r="B28" s="42">
        <v>1362</v>
      </c>
      <c r="C28" s="42"/>
      <c r="D28" s="42">
        <f t="shared" si="3"/>
        <v>1362</v>
      </c>
      <c r="E28" s="42">
        <v>1751</v>
      </c>
      <c r="F28" s="42"/>
      <c r="G28" s="42">
        <f t="shared" si="4"/>
        <v>1751</v>
      </c>
      <c r="H28" s="42">
        <v>1331</v>
      </c>
      <c r="I28" s="42"/>
      <c r="J28" s="42">
        <f t="shared" si="5"/>
        <v>1331</v>
      </c>
      <c r="K28" s="42">
        <v>1448</v>
      </c>
      <c r="L28" s="42"/>
      <c r="M28" s="42">
        <f t="shared" si="6"/>
        <v>1448</v>
      </c>
    </row>
    <row r="29" spans="1:13" ht="12.75">
      <c r="A29" s="158" t="s">
        <v>667</v>
      </c>
      <c r="B29" s="42"/>
      <c r="C29" s="42"/>
      <c r="D29" s="42">
        <f t="shared" si="3"/>
        <v>0</v>
      </c>
      <c r="E29" s="42"/>
      <c r="F29" s="42"/>
      <c r="G29" s="42">
        <f t="shared" si="4"/>
        <v>0</v>
      </c>
      <c r="H29" s="42"/>
      <c r="I29" s="42"/>
      <c r="J29" s="42">
        <f t="shared" si="5"/>
        <v>0</v>
      </c>
      <c r="K29" s="42"/>
      <c r="L29" s="42"/>
      <c r="M29" s="42">
        <f t="shared" si="6"/>
        <v>0</v>
      </c>
    </row>
    <row r="30" spans="1:13" ht="22.5">
      <c r="A30" s="829" t="s">
        <v>417</v>
      </c>
      <c r="B30" s="42">
        <v>188</v>
      </c>
      <c r="C30" s="42"/>
      <c r="D30" s="42">
        <f t="shared" si="3"/>
        <v>188</v>
      </c>
      <c r="E30" s="42"/>
      <c r="F30" s="42"/>
      <c r="G30" s="42">
        <f t="shared" si="4"/>
        <v>0</v>
      </c>
      <c r="H30" s="42"/>
      <c r="I30" s="42"/>
      <c r="J30" s="42">
        <f t="shared" si="5"/>
        <v>0</v>
      </c>
      <c r="K30" s="42">
        <v>117</v>
      </c>
      <c r="L30" s="42"/>
      <c r="M30" s="42">
        <f t="shared" si="6"/>
        <v>117</v>
      </c>
    </row>
    <row r="31" spans="1:13" ht="22.5">
      <c r="A31" s="830" t="s">
        <v>418</v>
      </c>
      <c r="B31" s="42">
        <v>185</v>
      </c>
      <c r="C31" s="42"/>
      <c r="D31" s="42">
        <f t="shared" si="3"/>
        <v>185</v>
      </c>
      <c r="E31" s="42"/>
      <c r="F31" s="42"/>
      <c r="G31" s="42">
        <f t="shared" si="4"/>
        <v>0</v>
      </c>
      <c r="H31" s="42">
        <v>300</v>
      </c>
      <c r="I31" s="42"/>
      <c r="J31" s="42">
        <f t="shared" si="5"/>
        <v>300</v>
      </c>
      <c r="K31" s="42"/>
      <c r="L31" s="42"/>
      <c r="M31" s="42">
        <f t="shared" si="6"/>
        <v>0</v>
      </c>
    </row>
    <row r="32" spans="1:13" ht="12.75">
      <c r="A32" s="158" t="s">
        <v>419</v>
      </c>
      <c r="B32" s="42"/>
      <c r="C32" s="42"/>
      <c r="D32" s="42">
        <f t="shared" si="3"/>
        <v>0</v>
      </c>
      <c r="E32" s="42"/>
      <c r="F32" s="42"/>
      <c r="G32" s="42">
        <f t="shared" si="4"/>
        <v>0</v>
      </c>
      <c r="H32" s="42"/>
      <c r="I32" s="42"/>
      <c r="J32" s="42">
        <f t="shared" si="5"/>
        <v>0</v>
      </c>
      <c r="K32" s="42"/>
      <c r="L32" s="42"/>
      <c r="M32" s="42">
        <f t="shared" si="6"/>
        <v>0</v>
      </c>
    </row>
    <row r="33" spans="1:13" ht="12.75">
      <c r="A33" s="158" t="s">
        <v>420</v>
      </c>
      <c r="B33" s="42">
        <v>729</v>
      </c>
      <c r="C33" s="42"/>
      <c r="D33" s="42">
        <f t="shared" si="3"/>
        <v>729</v>
      </c>
      <c r="E33" s="42">
        <v>818</v>
      </c>
      <c r="F33" s="42"/>
      <c r="G33" s="42">
        <f t="shared" si="4"/>
        <v>818</v>
      </c>
      <c r="H33" s="42">
        <v>772</v>
      </c>
      <c r="I33" s="42"/>
      <c r="J33" s="42">
        <f t="shared" si="5"/>
        <v>772</v>
      </c>
      <c r="K33" s="42">
        <v>436</v>
      </c>
      <c r="L33" s="42"/>
      <c r="M33" s="42">
        <f t="shared" si="6"/>
        <v>436</v>
      </c>
    </row>
    <row r="34" spans="1:13" ht="12.75">
      <c r="A34" s="158" t="s">
        <v>421</v>
      </c>
      <c r="B34" s="42">
        <f aca="true" t="shared" si="7" ref="B34:M34">+B23-B25-B26-B27-B28-B30-B31-B32-B33-B29</f>
        <v>114122</v>
      </c>
      <c r="C34" s="42">
        <f t="shared" si="7"/>
        <v>3216</v>
      </c>
      <c r="D34" s="42">
        <f t="shared" si="7"/>
        <v>117338</v>
      </c>
      <c r="E34" s="42">
        <f t="shared" si="7"/>
        <v>105520</v>
      </c>
      <c r="F34" s="42">
        <f t="shared" si="7"/>
        <v>26233</v>
      </c>
      <c r="G34" s="42">
        <f t="shared" si="7"/>
        <v>131753</v>
      </c>
      <c r="H34" s="42">
        <f t="shared" si="7"/>
        <v>75170</v>
      </c>
      <c r="I34" s="42">
        <f t="shared" si="7"/>
        <v>9981</v>
      </c>
      <c r="J34" s="42">
        <f t="shared" si="7"/>
        <v>85151</v>
      </c>
      <c r="K34" s="42">
        <f t="shared" si="7"/>
        <v>82207</v>
      </c>
      <c r="L34" s="42">
        <f t="shared" si="7"/>
        <v>3295</v>
      </c>
      <c r="M34" s="42">
        <f t="shared" si="7"/>
        <v>85502</v>
      </c>
    </row>
    <row r="35" spans="1:13" ht="12.75">
      <c r="A35" s="826" t="s">
        <v>66</v>
      </c>
      <c r="B35" s="42">
        <v>42667</v>
      </c>
      <c r="C35" s="42"/>
      <c r="D35" s="42">
        <f>SUM(B35:C35)</f>
        <v>42667</v>
      </c>
      <c r="E35" s="42">
        <v>43250</v>
      </c>
      <c r="F35" s="42"/>
      <c r="G35" s="42">
        <f>SUM(E35:F35)</f>
        <v>43250</v>
      </c>
      <c r="H35" s="42">
        <v>39005</v>
      </c>
      <c r="I35" s="42"/>
      <c r="J35" s="42">
        <f>SUM(H35:I35)</f>
        <v>39005</v>
      </c>
      <c r="K35" s="42">
        <v>35051</v>
      </c>
      <c r="L35" s="42"/>
      <c r="M35" s="42">
        <f>SUM(K35:L35)</f>
        <v>35051</v>
      </c>
    </row>
    <row r="36" spans="1:13" ht="12.75">
      <c r="A36" s="798" t="s">
        <v>678</v>
      </c>
      <c r="B36" s="42"/>
      <c r="C36" s="42"/>
      <c r="D36" s="42">
        <f>SUM(B36:C36)</f>
        <v>0</v>
      </c>
      <c r="E36" s="42"/>
      <c r="F36" s="42"/>
      <c r="G36" s="42">
        <f>SUM(E36:F36)</f>
        <v>0</v>
      </c>
      <c r="H36" s="42"/>
      <c r="I36" s="42"/>
      <c r="J36" s="42">
        <f>SUM(H36:I36)</f>
        <v>0</v>
      </c>
      <c r="K36" s="42"/>
      <c r="L36" s="42"/>
      <c r="M36" s="42">
        <f>SUM(K36:L36)</f>
        <v>0</v>
      </c>
    </row>
    <row r="37" spans="1:13" s="825" customFormat="1" ht="12.75">
      <c r="A37" s="162" t="s">
        <v>396</v>
      </c>
      <c r="B37" s="37">
        <f aca="true" t="shared" si="8" ref="B37:M37">SUM(B25:B34)</f>
        <v>123396</v>
      </c>
      <c r="C37" s="37">
        <f t="shared" si="8"/>
        <v>3216</v>
      </c>
      <c r="D37" s="37">
        <f t="shared" si="8"/>
        <v>126612</v>
      </c>
      <c r="E37" s="37">
        <f t="shared" si="8"/>
        <v>116845</v>
      </c>
      <c r="F37" s="37">
        <f t="shared" si="8"/>
        <v>26233</v>
      </c>
      <c r="G37" s="37">
        <f t="shared" si="8"/>
        <v>143078</v>
      </c>
      <c r="H37" s="37">
        <f t="shared" si="8"/>
        <v>84226</v>
      </c>
      <c r="I37" s="37">
        <f t="shared" si="8"/>
        <v>9981</v>
      </c>
      <c r="J37" s="37">
        <f t="shared" si="8"/>
        <v>94207</v>
      </c>
      <c r="K37" s="37">
        <f t="shared" si="8"/>
        <v>91450</v>
      </c>
      <c r="L37" s="37">
        <f t="shared" si="8"/>
        <v>3295</v>
      </c>
      <c r="M37" s="37">
        <f t="shared" si="8"/>
        <v>94745</v>
      </c>
    </row>
    <row r="39" spans="2:11" ht="12.75">
      <c r="B39" s="827"/>
      <c r="E39" s="827"/>
      <c r="H39" s="827"/>
      <c r="K39" s="827"/>
    </row>
  </sheetData>
  <mergeCells count="1">
    <mergeCell ref="L3:M3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&amp;C&amp;"Times New Roman,Normál"3 &amp;R&amp;"Times New Roman,Normál"6/a.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B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9" sqref="B9:M9"/>
    </sheetView>
  </sheetViews>
  <sheetFormatPr defaultColWidth="9.140625" defaultRowHeight="12.75"/>
  <cols>
    <col min="1" max="1" width="28.8515625" style="168" customWidth="1"/>
    <col min="2" max="2" width="10.00390625" style="168" customWidth="1"/>
    <col min="3" max="3" width="7.7109375" style="168" customWidth="1"/>
    <col min="4" max="4" width="9.421875" style="168" bestFit="1" customWidth="1"/>
    <col min="5" max="5" width="10.140625" style="168" customWidth="1"/>
    <col min="6" max="6" width="7.421875" style="168" customWidth="1"/>
    <col min="7" max="7" width="9.421875" style="168" bestFit="1" customWidth="1"/>
    <col min="8" max="8" width="10.28125" style="168" customWidth="1"/>
    <col min="9" max="9" width="7.7109375" style="168" customWidth="1"/>
    <col min="10" max="10" width="9.421875" style="168" bestFit="1" customWidth="1"/>
    <col min="11" max="11" width="10.00390625" style="168" customWidth="1"/>
    <col min="12" max="12" width="7.57421875" style="168" customWidth="1"/>
    <col min="13" max="13" width="9.421875" style="168" bestFit="1" customWidth="1"/>
    <col min="14" max="16384" width="9.140625" style="808" customWidth="1"/>
  </cols>
  <sheetData>
    <row r="2" spans="1:13" ht="18.75">
      <c r="A2" s="809" t="s">
        <v>659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</row>
    <row r="3" spans="12:13" ht="12.75">
      <c r="L3" s="883" t="s">
        <v>377</v>
      </c>
      <c r="M3" s="883"/>
    </row>
    <row r="4" spans="1:13" ht="12.75">
      <c r="A4" s="811" t="s">
        <v>402</v>
      </c>
      <c r="B4" s="812">
        <v>13</v>
      </c>
      <c r="C4" s="813"/>
      <c r="D4" s="814"/>
      <c r="E4" s="812">
        <v>14</v>
      </c>
      <c r="F4" s="813"/>
      <c r="G4" s="814"/>
      <c r="H4" s="812">
        <v>15</v>
      </c>
      <c r="I4" s="813"/>
      <c r="J4" s="814"/>
      <c r="K4" s="812">
        <v>16</v>
      </c>
      <c r="L4" s="813"/>
      <c r="M4" s="814"/>
    </row>
    <row r="5" spans="1:13" ht="12.75">
      <c r="A5" s="811" t="s">
        <v>170</v>
      </c>
      <c r="B5" s="811"/>
      <c r="C5" s="815"/>
      <c r="D5" s="801"/>
      <c r="E5" s="811"/>
      <c r="F5" s="816"/>
      <c r="G5" s="817"/>
      <c r="H5" s="818"/>
      <c r="I5" s="816"/>
      <c r="J5" s="817"/>
      <c r="K5" s="818"/>
      <c r="L5" s="816"/>
      <c r="M5" s="817"/>
    </row>
    <row r="6" spans="1:13" ht="12.75">
      <c r="A6" s="811" t="s">
        <v>403</v>
      </c>
      <c r="B6" s="799" t="s">
        <v>679</v>
      </c>
      <c r="C6" s="800"/>
      <c r="D6" s="801"/>
      <c r="E6" s="812" t="s">
        <v>680</v>
      </c>
      <c r="F6" s="813"/>
      <c r="G6" s="814"/>
      <c r="H6" s="812" t="s">
        <v>681</v>
      </c>
      <c r="I6" s="813"/>
      <c r="J6" s="814"/>
      <c r="K6" s="812" t="s">
        <v>682</v>
      </c>
      <c r="L6" s="813"/>
      <c r="M6" s="814"/>
    </row>
    <row r="7" spans="1:13" ht="12.75">
      <c r="A7" s="811" t="s">
        <v>404</v>
      </c>
      <c r="B7" s="812">
        <v>801115</v>
      </c>
      <c r="C7" s="813"/>
      <c r="D7" s="814"/>
      <c r="E7" s="812">
        <v>801115</v>
      </c>
      <c r="F7" s="813"/>
      <c r="G7" s="814"/>
      <c r="H7" s="812">
        <v>801115</v>
      </c>
      <c r="I7" s="813"/>
      <c r="J7" s="814"/>
      <c r="K7" s="812">
        <v>801115</v>
      </c>
      <c r="L7" s="813"/>
      <c r="M7" s="814"/>
    </row>
    <row r="8" spans="1:13" ht="12.75">
      <c r="A8" s="820" t="s">
        <v>405</v>
      </c>
      <c r="B8" s="821" t="s">
        <v>406</v>
      </c>
      <c r="C8" s="822"/>
      <c r="D8" s="823"/>
      <c r="E8" s="821"/>
      <c r="F8" s="822"/>
      <c r="G8" s="823"/>
      <c r="H8" s="821"/>
      <c r="I8" s="822"/>
      <c r="J8" s="823"/>
      <c r="K8" s="821"/>
      <c r="L8" s="822"/>
      <c r="M8" s="823"/>
    </row>
    <row r="9" spans="1:13" s="25" customFormat="1" ht="30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2" customHeight="1">
      <c r="A10" s="118" t="s">
        <v>208</v>
      </c>
      <c r="B10" s="824" t="s">
        <v>209</v>
      </c>
      <c r="C10" s="100" t="s">
        <v>210</v>
      </c>
      <c r="D10" s="100" t="s">
        <v>182</v>
      </c>
      <c r="E10" s="100" t="s">
        <v>183</v>
      </c>
      <c r="F10" s="100" t="s">
        <v>184</v>
      </c>
      <c r="G10" s="100" t="s">
        <v>185</v>
      </c>
      <c r="H10" s="100" t="s">
        <v>186</v>
      </c>
      <c r="I10" s="100" t="s">
        <v>187</v>
      </c>
      <c r="J10" s="100" t="s">
        <v>188</v>
      </c>
      <c r="K10" s="100" t="s">
        <v>189</v>
      </c>
      <c r="L10" s="100" t="s">
        <v>190</v>
      </c>
      <c r="M10" s="100" t="s">
        <v>191</v>
      </c>
    </row>
    <row r="11" spans="1:13" ht="12.75">
      <c r="A11" s="158" t="s">
        <v>408</v>
      </c>
      <c r="B11" s="101">
        <v>20.5</v>
      </c>
      <c r="C11" s="101"/>
      <c r="D11" s="101">
        <f>SUM(B11:C11)</f>
        <v>20.5</v>
      </c>
      <c r="E11" s="101">
        <v>19.5</v>
      </c>
      <c r="F11" s="101"/>
      <c r="G11" s="101">
        <f>SUM(E11:F11)</f>
        <v>19.5</v>
      </c>
      <c r="H11" s="101">
        <v>23</v>
      </c>
      <c r="I11" s="101"/>
      <c r="J11" s="101">
        <f>SUM(H11:I11)</f>
        <v>23</v>
      </c>
      <c r="K11" s="101">
        <v>22.5</v>
      </c>
      <c r="L11" s="101"/>
      <c r="M11" s="101">
        <f>SUM(K11:L11)</f>
        <v>22.5</v>
      </c>
    </row>
    <row r="12" spans="1:13" s="825" customFormat="1" ht="12.75">
      <c r="A12" s="160" t="s">
        <v>409</v>
      </c>
      <c r="B12" s="37"/>
      <c r="C12" s="37"/>
      <c r="D12" s="101"/>
      <c r="E12" s="37"/>
      <c r="F12" s="37"/>
      <c r="G12" s="101"/>
      <c r="H12" s="37"/>
      <c r="I12" s="37"/>
      <c r="J12" s="101"/>
      <c r="K12" s="37"/>
      <c r="L12" s="37"/>
      <c r="M12" s="101"/>
    </row>
    <row r="13" spans="1:13" ht="12.75">
      <c r="A13" s="158" t="s">
        <v>410</v>
      </c>
      <c r="B13" s="42">
        <v>44870</v>
      </c>
      <c r="C13" s="42">
        <f>250+1366</f>
        <v>1616</v>
      </c>
      <c r="D13" s="42">
        <f>SUM(B13:C13)</f>
        <v>46486</v>
      </c>
      <c r="E13" s="42">
        <v>41572</v>
      </c>
      <c r="F13" s="42">
        <f>250+1300</f>
        <v>1550</v>
      </c>
      <c r="G13" s="42">
        <f>SUM(E13:F13)</f>
        <v>43122</v>
      </c>
      <c r="H13" s="42">
        <v>50264</v>
      </c>
      <c r="I13" s="42">
        <f>250+1600</f>
        <v>1850</v>
      </c>
      <c r="J13" s="42">
        <f>SUM(H13:I13)</f>
        <v>52114</v>
      </c>
      <c r="K13" s="42">
        <v>50805</v>
      </c>
      <c r="L13" s="42">
        <f>250+1593</f>
        <v>1843</v>
      </c>
      <c r="M13" s="42">
        <f>SUM(K13:L13)</f>
        <v>52648</v>
      </c>
    </row>
    <row r="14" spans="1:13" ht="12.75">
      <c r="A14" s="158" t="s">
        <v>374</v>
      </c>
      <c r="B14" s="42">
        <v>14458</v>
      </c>
      <c r="C14" s="42">
        <f>72+396+8+42</f>
        <v>518</v>
      </c>
      <c r="D14" s="42">
        <f>SUM(B14:C14)</f>
        <v>14976</v>
      </c>
      <c r="E14" s="42">
        <v>13259</v>
      </c>
      <c r="F14" s="42">
        <f>72+377+8+39</f>
        <v>496</v>
      </c>
      <c r="G14" s="42">
        <f>SUM(E14:F14)</f>
        <v>13755</v>
      </c>
      <c r="H14" s="42">
        <v>16296</v>
      </c>
      <c r="I14" s="42">
        <f>72+465+8+48</f>
        <v>593</v>
      </c>
      <c r="J14" s="42">
        <f>SUM(H14:I14)</f>
        <v>16889</v>
      </c>
      <c r="K14" s="42">
        <v>16432</v>
      </c>
      <c r="L14" s="42">
        <f>72+463+8+48</f>
        <v>591</v>
      </c>
      <c r="M14" s="42">
        <f>SUM(K14:L14)</f>
        <v>17023</v>
      </c>
    </row>
    <row r="15" spans="1:13" ht="12.75">
      <c r="A15" s="158" t="s">
        <v>375</v>
      </c>
      <c r="B15" s="42">
        <v>17123</v>
      </c>
      <c r="C15" s="42">
        <f>446+125</f>
        <v>571</v>
      </c>
      <c r="D15" s="42">
        <f>SUM(B15:C15)</f>
        <v>17694</v>
      </c>
      <c r="E15" s="42">
        <v>22900</v>
      </c>
      <c r="F15" s="42">
        <f>-320+360+87</f>
        <v>127</v>
      </c>
      <c r="G15" s="42">
        <f>SUM(E15:F15)</f>
        <v>23027</v>
      </c>
      <c r="H15" s="42">
        <v>24344</v>
      </c>
      <c r="I15" s="42">
        <f>-275+100</f>
        <v>-175</v>
      </c>
      <c r="J15" s="42">
        <f>SUM(H15:I15)</f>
        <v>24169</v>
      </c>
      <c r="K15" s="42">
        <v>27531</v>
      </c>
      <c r="L15" s="42">
        <f>70+100</f>
        <v>170</v>
      </c>
      <c r="M15" s="42">
        <f>SUM(K15:L15)</f>
        <v>27701</v>
      </c>
    </row>
    <row r="16" spans="1:13" ht="22.5">
      <c r="A16" s="829" t="s">
        <v>281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158" t="s">
        <v>665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s="825" customFormat="1" ht="12.75">
      <c r="A18" s="160" t="s">
        <v>376</v>
      </c>
      <c r="B18" s="37">
        <f aca="true" t="shared" si="0" ref="B18:M18">SUM(B13:B17)</f>
        <v>76451</v>
      </c>
      <c r="C18" s="37">
        <f t="shared" si="0"/>
        <v>2705</v>
      </c>
      <c r="D18" s="37">
        <f t="shared" si="0"/>
        <v>79156</v>
      </c>
      <c r="E18" s="37">
        <f t="shared" si="0"/>
        <v>77731</v>
      </c>
      <c r="F18" s="37">
        <f t="shared" si="0"/>
        <v>2173</v>
      </c>
      <c r="G18" s="37">
        <f t="shared" si="0"/>
        <v>79904</v>
      </c>
      <c r="H18" s="37">
        <f t="shared" si="0"/>
        <v>90904</v>
      </c>
      <c r="I18" s="37">
        <f t="shared" si="0"/>
        <v>2268</v>
      </c>
      <c r="J18" s="37">
        <f t="shared" si="0"/>
        <v>93172</v>
      </c>
      <c r="K18" s="37">
        <f t="shared" si="0"/>
        <v>94768</v>
      </c>
      <c r="L18" s="37">
        <f t="shared" si="0"/>
        <v>2604</v>
      </c>
      <c r="M18" s="37">
        <f t="shared" si="0"/>
        <v>97372</v>
      </c>
    </row>
    <row r="19" spans="1:13" ht="12.75">
      <c r="A19" s="158" t="s">
        <v>423</v>
      </c>
      <c r="B19" s="42">
        <v>1804</v>
      </c>
      <c r="C19" s="42">
        <f>156+1579</f>
        <v>1735</v>
      </c>
      <c r="D19" s="42">
        <f>SUM(B19:C19)</f>
        <v>3539</v>
      </c>
      <c r="E19" s="42">
        <v>12915</v>
      </c>
      <c r="F19" s="42">
        <f>39+197</f>
        <v>236</v>
      </c>
      <c r="G19" s="42">
        <f>SUM(E19:F19)</f>
        <v>13151</v>
      </c>
      <c r="H19" s="42">
        <v>8400</v>
      </c>
      <c r="I19" s="42">
        <f>39+940+-59</f>
        <v>920</v>
      </c>
      <c r="J19" s="42">
        <f>SUM(H19:I19)</f>
        <v>9320</v>
      </c>
      <c r="K19" s="42"/>
      <c r="L19" s="42"/>
      <c r="M19" s="42">
        <f>SUM(K19:L19)</f>
        <v>0</v>
      </c>
    </row>
    <row r="20" spans="1:13" ht="12.75">
      <c r="A20" s="158" t="s">
        <v>424</v>
      </c>
      <c r="B20" s="42">
        <v>348</v>
      </c>
      <c r="C20" s="42"/>
      <c r="D20" s="42">
        <f>SUM(B20:C20)</f>
        <v>348</v>
      </c>
      <c r="E20" s="42">
        <v>11</v>
      </c>
      <c r="F20" s="42">
        <v>320</v>
      </c>
      <c r="G20" s="42">
        <f>SUM(E20:F20)</f>
        <v>331</v>
      </c>
      <c r="H20" s="42">
        <v>198</v>
      </c>
      <c r="I20" s="42">
        <v>275</v>
      </c>
      <c r="J20" s="42">
        <f>SUM(H20:I20)</f>
        <v>473</v>
      </c>
      <c r="K20" s="42"/>
      <c r="L20" s="42"/>
      <c r="M20" s="42">
        <f>SUM(K20:L20)</f>
        <v>0</v>
      </c>
    </row>
    <row r="21" spans="1:13" ht="24">
      <c r="A21" s="47" t="s">
        <v>422</v>
      </c>
      <c r="B21" s="42"/>
      <c r="C21" s="42"/>
      <c r="D21" s="42">
        <f>SUM(B21:C21)</f>
        <v>0</v>
      </c>
      <c r="E21" s="42"/>
      <c r="F21" s="42"/>
      <c r="G21" s="42"/>
      <c r="H21" s="42"/>
      <c r="I21" s="42"/>
      <c r="J21" s="42">
        <f>SUM(H21:I21)</f>
        <v>0</v>
      </c>
      <c r="K21" s="42"/>
      <c r="L21" s="42"/>
      <c r="M21" s="42">
        <f>SUM(K21:L21)</f>
        <v>0</v>
      </c>
    </row>
    <row r="22" spans="1:13" s="825" customFormat="1" ht="12.75">
      <c r="A22" s="160" t="s">
        <v>83</v>
      </c>
      <c r="B22" s="37">
        <f aca="true" t="shared" si="1" ref="B22:M22">SUM(B19:B21)</f>
        <v>2152</v>
      </c>
      <c r="C22" s="37">
        <f t="shared" si="1"/>
        <v>1735</v>
      </c>
      <c r="D22" s="37">
        <f t="shared" si="1"/>
        <v>3887</v>
      </c>
      <c r="E22" s="37">
        <f t="shared" si="1"/>
        <v>12926</v>
      </c>
      <c r="F22" s="37">
        <f t="shared" si="1"/>
        <v>556</v>
      </c>
      <c r="G22" s="37">
        <f t="shared" si="1"/>
        <v>13482</v>
      </c>
      <c r="H22" s="37">
        <f t="shared" si="1"/>
        <v>8598</v>
      </c>
      <c r="I22" s="37">
        <f t="shared" si="1"/>
        <v>1195</v>
      </c>
      <c r="J22" s="37">
        <f t="shared" si="1"/>
        <v>9793</v>
      </c>
      <c r="K22" s="37">
        <f t="shared" si="1"/>
        <v>0</v>
      </c>
      <c r="L22" s="37">
        <f t="shared" si="1"/>
        <v>0</v>
      </c>
      <c r="M22" s="37">
        <f t="shared" si="1"/>
        <v>0</v>
      </c>
    </row>
    <row r="23" spans="1:13" s="825" customFormat="1" ht="12.75">
      <c r="A23" s="162" t="s">
        <v>84</v>
      </c>
      <c r="B23" s="37">
        <f aca="true" t="shared" si="2" ref="B23:M23">SUM(B18+B22)</f>
        <v>78603</v>
      </c>
      <c r="C23" s="37">
        <f t="shared" si="2"/>
        <v>4440</v>
      </c>
      <c r="D23" s="37">
        <f t="shared" si="2"/>
        <v>83043</v>
      </c>
      <c r="E23" s="37">
        <f t="shared" si="2"/>
        <v>90657</v>
      </c>
      <c r="F23" s="37">
        <f t="shared" si="2"/>
        <v>2729</v>
      </c>
      <c r="G23" s="37">
        <f t="shared" si="2"/>
        <v>93386</v>
      </c>
      <c r="H23" s="37">
        <f t="shared" si="2"/>
        <v>99502</v>
      </c>
      <c r="I23" s="37">
        <f t="shared" si="2"/>
        <v>3463</v>
      </c>
      <c r="J23" s="37">
        <f t="shared" si="2"/>
        <v>102965</v>
      </c>
      <c r="K23" s="37">
        <f t="shared" si="2"/>
        <v>94768</v>
      </c>
      <c r="L23" s="37">
        <f t="shared" si="2"/>
        <v>2604</v>
      </c>
      <c r="M23" s="37">
        <f t="shared" si="2"/>
        <v>97372</v>
      </c>
    </row>
    <row r="24" spans="1:13" s="825" customFormat="1" ht="12.75">
      <c r="A24" s="160" t="s">
        <v>85</v>
      </c>
      <c r="B24" s="37"/>
      <c r="C24" s="37"/>
      <c r="D24" s="42">
        <f aca="true" t="shared" si="3" ref="D24:D33">SUM(B24:C24)</f>
        <v>0</v>
      </c>
      <c r="E24" s="37"/>
      <c r="F24" s="37"/>
      <c r="G24" s="42">
        <f aca="true" t="shared" si="4" ref="G24:G33">SUM(E24:F24)</f>
        <v>0</v>
      </c>
      <c r="H24" s="37"/>
      <c r="I24" s="37"/>
      <c r="J24" s="42">
        <f aca="true" t="shared" si="5" ref="J24:J33">SUM(H24:I24)</f>
        <v>0</v>
      </c>
      <c r="K24" s="37"/>
      <c r="L24" s="37"/>
      <c r="M24" s="42">
        <f aca="true" t="shared" si="6" ref="M24:M33">SUM(K24:L24)</f>
        <v>0</v>
      </c>
    </row>
    <row r="25" spans="1:13" ht="24">
      <c r="A25" s="47" t="s">
        <v>282</v>
      </c>
      <c r="B25" s="42"/>
      <c r="C25" s="42"/>
      <c r="D25" s="42">
        <f t="shared" si="3"/>
        <v>0</v>
      </c>
      <c r="E25" s="42"/>
      <c r="F25" s="42"/>
      <c r="G25" s="42">
        <f t="shared" si="4"/>
        <v>0</v>
      </c>
      <c r="H25" s="42"/>
      <c r="I25" s="42"/>
      <c r="J25" s="42">
        <f t="shared" si="5"/>
        <v>0</v>
      </c>
      <c r="K25" s="42"/>
      <c r="L25" s="42"/>
      <c r="M25" s="42">
        <f t="shared" si="6"/>
        <v>0</v>
      </c>
    </row>
    <row r="26" spans="1:13" ht="24">
      <c r="A26" s="47" t="s">
        <v>289</v>
      </c>
      <c r="B26" s="42">
        <v>3949</v>
      </c>
      <c r="C26" s="42"/>
      <c r="D26" s="42">
        <f t="shared" si="3"/>
        <v>3949</v>
      </c>
      <c r="E26" s="42">
        <v>5975</v>
      </c>
      <c r="F26" s="42"/>
      <c r="G26" s="42">
        <f t="shared" si="4"/>
        <v>5975</v>
      </c>
      <c r="H26" s="42">
        <v>6870</v>
      </c>
      <c r="I26" s="42"/>
      <c r="J26" s="42">
        <f t="shared" si="5"/>
        <v>6870</v>
      </c>
      <c r="K26" s="42">
        <v>6736</v>
      </c>
      <c r="L26" s="42"/>
      <c r="M26" s="42">
        <f t="shared" si="6"/>
        <v>6736</v>
      </c>
    </row>
    <row r="27" spans="1:13" ht="12.75">
      <c r="A27" s="158" t="s">
        <v>290</v>
      </c>
      <c r="B27" s="42"/>
      <c r="C27" s="42"/>
      <c r="D27" s="42">
        <f t="shared" si="3"/>
        <v>0</v>
      </c>
      <c r="E27" s="42"/>
      <c r="F27" s="42"/>
      <c r="G27" s="42">
        <f t="shared" si="4"/>
        <v>0</v>
      </c>
      <c r="H27" s="42"/>
      <c r="I27" s="42"/>
      <c r="J27" s="42">
        <f t="shared" si="5"/>
        <v>0</v>
      </c>
      <c r="K27" s="42"/>
      <c r="L27" s="42"/>
      <c r="M27" s="42">
        <f t="shared" si="6"/>
        <v>0</v>
      </c>
    </row>
    <row r="28" spans="1:13" ht="12.75">
      <c r="A28" s="158" t="s">
        <v>666</v>
      </c>
      <c r="B28" s="42">
        <v>790</v>
      </c>
      <c r="C28" s="42"/>
      <c r="D28" s="42">
        <f t="shared" si="3"/>
        <v>790</v>
      </c>
      <c r="E28" s="42">
        <v>1163</v>
      </c>
      <c r="F28" s="42"/>
      <c r="G28" s="42">
        <f t="shared" si="4"/>
        <v>1163</v>
      </c>
      <c r="H28" s="42">
        <v>1374</v>
      </c>
      <c r="I28" s="42"/>
      <c r="J28" s="42">
        <f t="shared" si="5"/>
        <v>1374</v>
      </c>
      <c r="K28" s="42">
        <v>1347</v>
      </c>
      <c r="L28" s="42"/>
      <c r="M28" s="42">
        <f t="shared" si="6"/>
        <v>1347</v>
      </c>
    </row>
    <row r="29" spans="1:13" ht="12.75">
      <c r="A29" s="158" t="s">
        <v>667</v>
      </c>
      <c r="B29" s="42"/>
      <c r="C29" s="42"/>
      <c r="D29" s="42">
        <f t="shared" si="3"/>
        <v>0</v>
      </c>
      <c r="E29" s="42"/>
      <c r="F29" s="42"/>
      <c r="G29" s="42">
        <f t="shared" si="4"/>
        <v>0</v>
      </c>
      <c r="H29" s="42"/>
      <c r="I29" s="42"/>
      <c r="J29" s="42">
        <f t="shared" si="5"/>
        <v>0</v>
      </c>
      <c r="K29" s="42"/>
      <c r="L29" s="42"/>
      <c r="M29" s="42">
        <f t="shared" si="6"/>
        <v>0</v>
      </c>
    </row>
    <row r="30" spans="1:13" ht="22.5">
      <c r="A30" s="829" t="s">
        <v>417</v>
      </c>
      <c r="B30" s="42"/>
      <c r="C30" s="42"/>
      <c r="D30" s="42">
        <f t="shared" si="3"/>
        <v>0</v>
      </c>
      <c r="E30" s="42">
        <v>282</v>
      </c>
      <c r="F30" s="42"/>
      <c r="G30" s="42">
        <f t="shared" si="4"/>
        <v>282</v>
      </c>
      <c r="H30" s="42"/>
      <c r="I30" s="42"/>
      <c r="J30" s="42">
        <f t="shared" si="5"/>
        <v>0</v>
      </c>
      <c r="K30" s="42"/>
      <c r="L30" s="42"/>
      <c r="M30" s="42">
        <f t="shared" si="6"/>
        <v>0</v>
      </c>
    </row>
    <row r="31" spans="1:13" ht="22.5">
      <c r="A31" s="830" t="s">
        <v>418</v>
      </c>
      <c r="B31" s="42">
        <v>258</v>
      </c>
      <c r="C31" s="42"/>
      <c r="D31" s="42">
        <f t="shared" si="3"/>
        <v>258</v>
      </c>
      <c r="E31" s="42"/>
      <c r="F31" s="42"/>
      <c r="G31" s="42">
        <f t="shared" si="4"/>
        <v>0</v>
      </c>
      <c r="H31" s="42">
        <v>198</v>
      </c>
      <c r="I31" s="42"/>
      <c r="J31" s="42">
        <f t="shared" si="5"/>
        <v>198</v>
      </c>
      <c r="K31" s="42"/>
      <c r="L31" s="42"/>
      <c r="M31" s="42">
        <f t="shared" si="6"/>
        <v>0</v>
      </c>
    </row>
    <row r="32" spans="1:13" ht="12.75">
      <c r="A32" s="158" t="s">
        <v>419</v>
      </c>
      <c r="B32" s="42"/>
      <c r="C32" s="42"/>
      <c r="D32" s="42">
        <f t="shared" si="3"/>
        <v>0</v>
      </c>
      <c r="E32" s="42"/>
      <c r="F32" s="42"/>
      <c r="G32" s="42">
        <f t="shared" si="4"/>
        <v>0</v>
      </c>
      <c r="H32" s="42"/>
      <c r="I32" s="42"/>
      <c r="J32" s="42">
        <f t="shared" si="5"/>
        <v>0</v>
      </c>
      <c r="K32" s="42"/>
      <c r="L32" s="42"/>
      <c r="M32" s="42">
        <f t="shared" si="6"/>
        <v>0</v>
      </c>
    </row>
    <row r="33" spans="1:13" ht="12.75">
      <c r="A33" s="158" t="s">
        <v>420</v>
      </c>
      <c r="B33" s="42">
        <v>1988</v>
      </c>
      <c r="C33" s="42"/>
      <c r="D33" s="42">
        <f t="shared" si="3"/>
        <v>1988</v>
      </c>
      <c r="E33" s="42">
        <v>130</v>
      </c>
      <c r="F33" s="42"/>
      <c r="G33" s="42">
        <f t="shared" si="4"/>
        <v>130</v>
      </c>
      <c r="H33" s="42">
        <v>310</v>
      </c>
      <c r="I33" s="42"/>
      <c r="J33" s="42">
        <f t="shared" si="5"/>
        <v>310</v>
      </c>
      <c r="K33" s="42">
        <v>214</v>
      </c>
      <c r="L33" s="42"/>
      <c r="M33" s="42">
        <f t="shared" si="6"/>
        <v>214</v>
      </c>
    </row>
    <row r="34" spans="1:13" ht="12.75">
      <c r="A34" s="158" t="s">
        <v>421</v>
      </c>
      <c r="B34" s="42">
        <f aca="true" t="shared" si="7" ref="B34:M34">+B23-B25-B26-B27-B28-B30-B31-B32-B33-B29</f>
        <v>71618</v>
      </c>
      <c r="C34" s="42">
        <f t="shared" si="7"/>
        <v>4440</v>
      </c>
      <c r="D34" s="42">
        <f t="shared" si="7"/>
        <v>76058</v>
      </c>
      <c r="E34" s="42">
        <f t="shared" si="7"/>
        <v>83107</v>
      </c>
      <c r="F34" s="42">
        <f t="shared" si="7"/>
        <v>2729</v>
      </c>
      <c r="G34" s="42">
        <f t="shared" si="7"/>
        <v>85836</v>
      </c>
      <c r="H34" s="42">
        <f t="shared" si="7"/>
        <v>90750</v>
      </c>
      <c r="I34" s="42">
        <f t="shared" si="7"/>
        <v>3463</v>
      </c>
      <c r="J34" s="42">
        <f t="shared" si="7"/>
        <v>94213</v>
      </c>
      <c r="K34" s="42">
        <f t="shared" si="7"/>
        <v>86471</v>
      </c>
      <c r="L34" s="42">
        <f t="shared" si="7"/>
        <v>2604</v>
      </c>
      <c r="M34" s="42">
        <f t="shared" si="7"/>
        <v>89075</v>
      </c>
    </row>
    <row r="35" spans="1:13" ht="12.75">
      <c r="A35" s="826" t="s">
        <v>66</v>
      </c>
      <c r="B35" s="42">
        <v>23456</v>
      </c>
      <c r="C35" s="42"/>
      <c r="D35" s="42">
        <f>SUM(B35:C35)</f>
        <v>23456</v>
      </c>
      <c r="E35" s="42">
        <v>27065</v>
      </c>
      <c r="F35" s="42"/>
      <c r="G35" s="42">
        <f>SUM(E35:F35)</f>
        <v>27065</v>
      </c>
      <c r="H35" s="42">
        <v>32806</v>
      </c>
      <c r="I35" s="42"/>
      <c r="J35" s="42">
        <f>SUM(H35:I35)</f>
        <v>32806</v>
      </c>
      <c r="K35" s="42">
        <v>33954</v>
      </c>
      <c r="L35" s="42"/>
      <c r="M35" s="42">
        <f>SUM(K35:L35)</f>
        <v>33954</v>
      </c>
    </row>
    <row r="36" spans="1:13" ht="14.25" customHeight="1">
      <c r="A36" s="802" t="s">
        <v>683</v>
      </c>
      <c r="B36" s="42"/>
      <c r="C36" s="42"/>
      <c r="D36" s="42">
        <f>SUM(B36:C36)</f>
        <v>0</v>
      </c>
      <c r="E36" s="42"/>
      <c r="F36" s="42"/>
      <c r="G36" s="42">
        <f>SUM(E36:F36)</f>
        <v>0</v>
      </c>
      <c r="H36" s="42"/>
      <c r="I36" s="42"/>
      <c r="J36" s="42">
        <f>SUM(H36:I36)</f>
        <v>0</v>
      </c>
      <c r="K36" s="42"/>
      <c r="L36" s="42"/>
      <c r="M36" s="42">
        <f>SUM(K36:L36)</f>
        <v>0</v>
      </c>
    </row>
    <row r="37" spans="1:13" s="825" customFormat="1" ht="12.75">
      <c r="A37" s="162" t="s">
        <v>396</v>
      </c>
      <c r="B37" s="37">
        <f aca="true" t="shared" si="8" ref="B37:M37">SUM(B25:B34)</f>
        <v>78603</v>
      </c>
      <c r="C37" s="37">
        <f t="shared" si="8"/>
        <v>4440</v>
      </c>
      <c r="D37" s="37">
        <f t="shared" si="8"/>
        <v>83043</v>
      </c>
      <c r="E37" s="37">
        <f t="shared" si="8"/>
        <v>90657</v>
      </c>
      <c r="F37" s="37">
        <f t="shared" si="8"/>
        <v>2729</v>
      </c>
      <c r="G37" s="37">
        <f t="shared" si="8"/>
        <v>93386</v>
      </c>
      <c r="H37" s="37">
        <f t="shared" si="8"/>
        <v>99502</v>
      </c>
      <c r="I37" s="37">
        <f t="shared" si="8"/>
        <v>3463</v>
      </c>
      <c r="J37" s="37">
        <f t="shared" si="8"/>
        <v>102965</v>
      </c>
      <c r="K37" s="37">
        <f t="shared" si="8"/>
        <v>94768</v>
      </c>
      <c r="L37" s="37">
        <f t="shared" si="8"/>
        <v>2604</v>
      </c>
      <c r="M37" s="37">
        <f t="shared" si="8"/>
        <v>97372</v>
      </c>
    </row>
    <row r="39" spans="2:11" ht="12.75">
      <c r="B39" s="827"/>
      <c r="C39" s="827"/>
      <c r="E39" s="827"/>
      <c r="H39" s="827"/>
      <c r="K39" s="827"/>
    </row>
  </sheetData>
  <mergeCells count="1">
    <mergeCell ref="L3:M3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&amp;C&amp;8 4 &amp;R&amp;"Times New Roman,Normál"6/a.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ySplit="8" topLeftCell="BM9" activePane="bottomLeft" state="frozen"/>
      <selection pane="topLeft" activeCell="C4" sqref="C4"/>
      <selection pane="bottomLeft" activeCell="B9" sqref="B9:M9"/>
    </sheetView>
  </sheetViews>
  <sheetFormatPr defaultColWidth="9.140625" defaultRowHeight="12.75"/>
  <cols>
    <col min="1" max="1" width="28.8515625" style="168" customWidth="1"/>
    <col min="2" max="2" width="10.57421875" style="168" customWidth="1"/>
    <col min="3" max="3" width="7.7109375" style="168" customWidth="1"/>
    <col min="4" max="4" width="9.421875" style="168" bestFit="1" customWidth="1"/>
    <col min="5" max="5" width="10.28125" style="168" customWidth="1"/>
    <col min="6" max="6" width="7.8515625" style="168" customWidth="1"/>
    <col min="7" max="7" width="9.421875" style="168" bestFit="1" customWidth="1"/>
    <col min="8" max="8" width="10.28125" style="168" customWidth="1"/>
    <col min="9" max="9" width="7.7109375" style="168" customWidth="1"/>
    <col min="10" max="10" width="9.421875" style="168" bestFit="1" customWidth="1"/>
    <col min="11" max="11" width="10.140625" style="168" customWidth="1"/>
    <col min="12" max="12" width="7.28125" style="168" customWidth="1"/>
    <col min="13" max="13" width="9.421875" style="168" bestFit="1" customWidth="1"/>
    <col min="14" max="16384" width="9.140625" style="808" customWidth="1"/>
  </cols>
  <sheetData>
    <row r="1" ht="8.25" customHeight="1"/>
    <row r="2" spans="1:13" ht="18.75">
      <c r="A2" s="809" t="s">
        <v>659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</row>
    <row r="3" spans="12:13" ht="12.75">
      <c r="L3" s="883" t="s">
        <v>377</v>
      </c>
      <c r="M3" s="883"/>
    </row>
    <row r="4" spans="1:13" ht="12.75">
      <c r="A4" s="811" t="s">
        <v>402</v>
      </c>
      <c r="B4" s="812">
        <v>17</v>
      </c>
      <c r="C4" s="813"/>
      <c r="D4" s="814"/>
      <c r="E4" s="812">
        <v>18</v>
      </c>
      <c r="F4" s="813"/>
      <c r="G4" s="814"/>
      <c r="H4" s="812">
        <v>19</v>
      </c>
      <c r="I4" s="813"/>
      <c r="J4" s="814"/>
      <c r="K4" s="812">
        <v>20</v>
      </c>
      <c r="L4" s="813"/>
      <c r="M4" s="814"/>
    </row>
    <row r="5" spans="1:13" ht="12.75">
      <c r="A5" s="811" t="s">
        <v>170</v>
      </c>
      <c r="B5" s="811"/>
      <c r="C5" s="815"/>
      <c r="D5" s="801"/>
      <c r="E5" s="811"/>
      <c r="F5" s="816"/>
      <c r="G5" s="817"/>
      <c r="H5" s="818"/>
      <c r="I5" s="816"/>
      <c r="J5" s="817"/>
      <c r="K5" s="818"/>
      <c r="L5" s="816"/>
      <c r="M5" s="817"/>
    </row>
    <row r="6" spans="1:13" ht="12.75">
      <c r="A6" s="811" t="s">
        <v>403</v>
      </c>
      <c r="B6" s="812" t="s">
        <v>684</v>
      </c>
      <c r="C6" s="813"/>
      <c r="D6" s="814"/>
      <c r="E6" s="812" t="s">
        <v>685</v>
      </c>
      <c r="F6" s="813"/>
      <c r="G6" s="814"/>
      <c r="H6" s="812" t="s">
        <v>686</v>
      </c>
      <c r="I6" s="813"/>
      <c r="J6" s="814"/>
      <c r="K6" s="812" t="s">
        <v>687</v>
      </c>
      <c r="L6" s="813"/>
      <c r="M6" s="814"/>
    </row>
    <row r="7" spans="1:13" ht="12.75">
      <c r="A7" s="811" t="s">
        <v>404</v>
      </c>
      <c r="B7" s="812">
        <v>801115</v>
      </c>
      <c r="C7" s="813"/>
      <c r="D7" s="814"/>
      <c r="E7" s="812">
        <v>801115</v>
      </c>
      <c r="F7" s="813"/>
      <c r="G7" s="814"/>
      <c r="H7" s="812">
        <v>801115</v>
      </c>
      <c r="I7" s="813"/>
      <c r="J7" s="814"/>
      <c r="K7" s="812">
        <v>801115</v>
      </c>
      <c r="L7" s="813"/>
      <c r="M7" s="814"/>
    </row>
    <row r="8" spans="1:13" ht="12.75">
      <c r="A8" s="820" t="s">
        <v>405</v>
      </c>
      <c r="B8" s="821" t="s">
        <v>406</v>
      </c>
      <c r="C8" s="822"/>
      <c r="D8" s="823"/>
      <c r="E8" s="821"/>
      <c r="F8" s="822"/>
      <c r="G8" s="823"/>
      <c r="H8" s="821"/>
      <c r="I8" s="822"/>
      <c r="J8" s="823"/>
      <c r="K8" s="821"/>
      <c r="L8" s="822"/>
      <c r="M8" s="823"/>
    </row>
    <row r="9" spans="1:13" s="25" customFormat="1" ht="36.75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2" customHeight="1">
      <c r="A10" s="118" t="s">
        <v>208</v>
      </c>
      <c r="B10" s="824" t="s">
        <v>209</v>
      </c>
      <c r="C10" s="100" t="s">
        <v>210</v>
      </c>
      <c r="D10" s="100" t="s">
        <v>182</v>
      </c>
      <c r="E10" s="100" t="s">
        <v>183</v>
      </c>
      <c r="F10" s="100" t="s">
        <v>184</v>
      </c>
      <c r="G10" s="100" t="s">
        <v>185</v>
      </c>
      <c r="H10" s="100" t="s">
        <v>186</v>
      </c>
      <c r="I10" s="100" t="s">
        <v>187</v>
      </c>
      <c r="J10" s="100" t="s">
        <v>188</v>
      </c>
      <c r="K10" s="100" t="s">
        <v>189</v>
      </c>
      <c r="L10" s="100" t="s">
        <v>190</v>
      </c>
      <c r="M10" s="100" t="s">
        <v>191</v>
      </c>
    </row>
    <row r="11" spans="1:13" ht="12.75">
      <c r="A11" s="158" t="s">
        <v>408</v>
      </c>
      <c r="B11" s="101">
        <v>47</v>
      </c>
      <c r="C11" s="101"/>
      <c r="D11" s="101">
        <f>SUM(B11:C11)</f>
        <v>47</v>
      </c>
      <c r="E11" s="101">
        <v>42.5</v>
      </c>
      <c r="F11" s="101"/>
      <c r="G11" s="101">
        <f>SUM(E11:F11)</f>
        <v>42.5</v>
      </c>
      <c r="H11" s="101">
        <v>36.5</v>
      </c>
      <c r="I11" s="101"/>
      <c r="J11" s="101">
        <f>SUM(H11:I11)</f>
        <v>36.5</v>
      </c>
      <c r="K11" s="101">
        <v>21</v>
      </c>
      <c r="L11" s="101"/>
      <c r="M11" s="101">
        <f>SUM(K11:L11)</f>
        <v>21</v>
      </c>
    </row>
    <row r="12" spans="1:13" s="825" customFormat="1" ht="12.75">
      <c r="A12" s="160" t="s">
        <v>409</v>
      </c>
      <c r="B12" s="37"/>
      <c r="C12" s="37"/>
      <c r="D12" s="101"/>
      <c r="E12" s="37"/>
      <c r="F12" s="37"/>
      <c r="G12" s="101"/>
      <c r="H12" s="37"/>
      <c r="I12" s="37"/>
      <c r="J12" s="101"/>
      <c r="K12" s="37"/>
      <c r="L12" s="37"/>
      <c r="M12" s="101"/>
    </row>
    <row r="13" spans="1:13" ht="12.75">
      <c r="A13" s="158" t="s">
        <v>410</v>
      </c>
      <c r="B13" s="42">
        <v>99451</v>
      </c>
      <c r="C13" s="42">
        <f>300+3378</f>
        <v>3678</v>
      </c>
      <c r="D13" s="42">
        <f>SUM(B13:C13)</f>
        <v>103129</v>
      </c>
      <c r="E13" s="42">
        <v>94145</v>
      </c>
      <c r="F13" s="42">
        <f>200+2990</f>
        <v>3190</v>
      </c>
      <c r="G13" s="42">
        <f>SUM(E13:F13)</f>
        <v>97335</v>
      </c>
      <c r="H13" s="42">
        <v>76255</v>
      </c>
      <c r="I13" s="42">
        <f>250+2459</f>
        <v>2709</v>
      </c>
      <c r="J13" s="42">
        <f>SUM(H13:I13)</f>
        <v>78964</v>
      </c>
      <c r="K13" s="42">
        <v>44072</v>
      </c>
      <c r="L13" s="42">
        <f>250+1526</f>
        <v>1776</v>
      </c>
      <c r="M13" s="42">
        <f>SUM(K13:L13)</f>
        <v>45848</v>
      </c>
    </row>
    <row r="14" spans="1:13" ht="12.75">
      <c r="A14" s="158" t="s">
        <v>374</v>
      </c>
      <c r="B14" s="42">
        <v>32167</v>
      </c>
      <c r="C14" s="42">
        <f>88+980+8+100</f>
        <v>1176</v>
      </c>
      <c r="D14" s="42">
        <f>SUM(B14:C14)</f>
        <v>33343</v>
      </c>
      <c r="E14" s="42">
        <v>30322</v>
      </c>
      <c r="F14" s="42">
        <f>58+867+6+88</f>
        <v>1019</v>
      </c>
      <c r="G14" s="42">
        <f>SUM(E14:F14)</f>
        <v>31341</v>
      </c>
      <c r="H14" s="42">
        <v>24712</v>
      </c>
      <c r="I14" s="42">
        <f>72+713+8+73</f>
        <v>866</v>
      </c>
      <c r="J14" s="42">
        <f>SUM(H14:I14)</f>
        <v>25578</v>
      </c>
      <c r="K14" s="42">
        <v>14191</v>
      </c>
      <c r="L14" s="42">
        <f>72+442+8+45</f>
        <v>567</v>
      </c>
      <c r="M14" s="42">
        <f>SUM(K14:L14)</f>
        <v>14758</v>
      </c>
    </row>
    <row r="15" spans="1:13" ht="12.75">
      <c r="A15" s="158" t="s">
        <v>375</v>
      </c>
      <c r="B15" s="42">
        <v>47796</v>
      </c>
      <c r="C15" s="42">
        <f>-11+350+219</f>
        <v>558</v>
      </c>
      <c r="D15" s="42">
        <f>SUM(B15:C15)</f>
        <v>48354</v>
      </c>
      <c r="E15" s="42">
        <v>52060</v>
      </c>
      <c r="F15" s="42">
        <f>-369+1811+250</f>
        <v>1692</v>
      </c>
      <c r="G15" s="42">
        <f>SUM(E15:F15)</f>
        <v>53752</v>
      </c>
      <c r="H15" s="42">
        <v>36177</v>
      </c>
      <c r="I15" s="42">
        <f>-149+300+1170+212</f>
        <v>1533</v>
      </c>
      <c r="J15" s="42">
        <f>SUM(H15:I15)</f>
        <v>37710</v>
      </c>
      <c r="K15" s="42">
        <v>22375</v>
      </c>
      <c r="L15" s="42">
        <f>-34+1260+131</f>
        <v>1357</v>
      </c>
      <c r="M15" s="42">
        <f>SUM(K15:L15)</f>
        <v>23732</v>
      </c>
    </row>
    <row r="16" spans="1:13" ht="22.5">
      <c r="A16" s="829" t="s">
        <v>281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158" t="s">
        <v>665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s="825" customFormat="1" ht="12.75">
      <c r="A18" s="160" t="s">
        <v>376</v>
      </c>
      <c r="B18" s="37">
        <f aca="true" t="shared" si="0" ref="B18:M18">SUM(B13:B17)</f>
        <v>179414</v>
      </c>
      <c r="C18" s="37">
        <f t="shared" si="0"/>
        <v>5412</v>
      </c>
      <c r="D18" s="37">
        <f t="shared" si="0"/>
        <v>184826</v>
      </c>
      <c r="E18" s="37">
        <f t="shared" si="0"/>
        <v>176527</v>
      </c>
      <c r="F18" s="37">
        <f t="shared" si="0"/>
        <v>5901</v>
      </c>
      <c r="G18" s="37">
        <f t="shared" si="0"/>
        <v>182428</v>
      </c>
      <c r="H18" s="37">
        <f t="shared" si="0"/>
        <v>137144</v>
      </c>
      <c r="I18" s="37">
        <f t="shared" si="0"/>
        <v>5108</v>
      </c>
      <c r="J18" s="37">
        <f t="shared" si="0"/>
        <v>142252</v>
      </c>
      <c r="K18" s="37">
        <f t="shared" si="0"/>
        <v>80638</v>
      </c>
      <c r="L18" s="37">
        <f t="shared" si="0"/>
        <v>3700</v>
      </c>
      <c r="M18" s="37">
        <f t="shared" si="0"/>
        <v>84338</v>
      </c>
    </row>
    <row r="19" spans="1:13" ht="12.75">
      <c r="A19" s="158" t="s">
        <v>423</v>
      </c>
      <c r="B19" s="42">
        <v>5151</v>
      </c>
      <c r="C19" s="42">
        <f>39+75+-173+270</f>
        <v>211</v>
      </c>
      <c r="D19" s="42">
        <f>SUM(B19:C19)</f>
        <v>5362</v>
      </c>
      <c r="E19" s="42">
        <v>28284</v>
      </c>
      <c r="F19" s="42">
        <v>36000</v>
      </c>
      <c r="G19" s="42">
        <f>SUM(E19:F19)</f>
        <v>64284</v>
      </c>
      <c r="H19" s="42">
        <v>13060</v>
      </c>
      <c r="I19" s="42">
        <f>38+39+130+38+-42+-1313</f>
        <v>-1110</v>
      </c>
      <c r="J19" s="42">
        <f>SUM(H19:I19)</f>
        <v>11950</v>
      </c>
      <c r="K19" s="42"/>
      <c r="L19" s="42"/>
      <c r="M19" s="42">
        <f>SUM(K19:L19)</f>
        <v>0</v>
      </c>
    </row>
    <row r="20" spans="1:13" ht="12.75">
      <c r="A20" s="158" t="s">
        <v>424</v>
      </c>
      <c r="B20" s="42">
        <v>490</v>
      </c>
      <c r="C20" s="42">
        <v>11</v>
      </c>
      <c r="D20" s="42">
        <f>SUM(B20:C20)</f>
        <v>501</v>
      </c>
      <c r="E20" s="42">
        <v>279</v>
      </c>
      <c r="F20" s="42">
        <v>369</v>
      </c>
      <c r="G20" s="42">
        <f>SUM(E20:F20)</f>
        <v>648</v>
      </c>
      <c r="H20" s="42">
        <v>119</v>
      </c>
      <c r="I20" s="42">
        <v>149</v>
      </c>
      <c r="J20" s="42">
        <f>SUM(H20:I20)</f>
        <v>268</v>
      </c>
      <c r="K20" s="42"/>
      <c r="L20" s="42">
        <v>34</v>
      </c>
      <c r="M20" s="42">
        <f>SUM(K20:L20)</f>
        <v>34</v>
      </c>
    </row>
    <row r="21" spans="1:13" ht="24">
      <c r="A21" s="47" t="s">
        <v>422</v>
      </c>
      <c r="B21" s="42"/>
      <c r="C21" s="42"/>
      <c r="D21" s="42">
        <f>SUM(B21:C21)</f>
        <v>0</v>
      </c>
      <c r="E21" s="42"/>
      <c r="F21" s="42"/>
      <c r="G21" s="42">
        <f>SUM(E21:F21)</f>
        <v>0</v>
      </c>
      <c r="H21" s="42"/>
      <c r="I21" s="42"/>
      <c r="J21" s="42">
        <f>SUM(H21:I21)</f>
        <v>0</v>
      </c>
      <c r="K21" s="42"/>
      <c r="L21" s="42"/>
      <c r="M21" s="42">
        <f>SUM(K21:L21)</f>
        <v>0</v>
      </c>
    </row>
    <row r="22" spans="1:13" s="825" customFormat="1" ht="12.75">
      <c r="A22" s="160" t="s">
        <v>83</v>
      </c>
      <c r="B22" s="37">
        <f aca="true" t="shared" si="1" ref="B22:M22">SUM(B19:B21)</f>
        <v>5641</v>
      </c>
      <c r="C22" s="37">
        <f t="shared" si="1"/>
        <v>222</v>
      </c>
      <c r="D22" s="37">
        <f t="shared" si="1"/>
        <v>5863</v>
      </c>
      <c r="E22" s="37">
        <f t="shared" si="1"/>
        <v>28563</v>
      </c>
      <c r="F22" s="37">
        <f t="shared" si="1"/>
        <v>36369</v>
      </c>
      <c r="G22" s="37">
        <f t="shared" si="1"/>
        <v>64932</v>
      </c>
      <c r="H22" s="37">
        <f t="shared" si="1"/>
        <v>13179</v>
      </c>
      <c r="I22" s="37">
        <f t="shared" si="1"/>
        <v>-961</v>
      </c>
      <c r="J22" s="37">
        <f t="shared" si="1"/>
        <v>12218</v>
      </c>
      <c r="K22" s="37">
        <f t="shared" si="1"/>
        <v>0</v>
      </c>
      <c r="L22" s="37">
        <f t="shared" si="1"/>
        <v>34</v>
      </c>
      <c r="M22" s="37">
        <f t="shared" si="1"/>
        <v>34</v>
      </c>
    </row>
    <row r="23" spans="1:13" s="825" customFormat="1" ht="12.75">
      <c r="A23" s="162" t="s">
        <v>84</v>
      </c>
      <c r="B23" s="37">
        <f aca="true" t="shared" si="2" ref="B23:M23">SUM(B18+B22)</f>
        <v>185055</v>
      </c>
      <c r="C23" s="37">
        <f t="shared" si="2"/>
        <v>5634</v>
      </c>
      <c r="D23" s="37">
        <f t="shared" si="2"/>
        <v>190689</v>
      </c>
      <c r="E23" s="37">
        <f t="shared" si="2"/>
        <v>205090</v>
      </c>
      <c r="F23" s="37">
        <f t="shared" si="2"/>
        <v>42270</v>
      </c>
      <c r="G23" s="37">
        <f t="shared" si="2"/>
        <v>247360</v>
      </c>
      <c r="H23" s="37">
        <f t="shared" si="2"/>
        <v>150323</v>
      </c>
      <c r="I23" s="37">
        <f t="shared" si="2"/>
        <v>4147</v>
      </c>
      <c r="J23" s="37">
        <f t="shared" si="2"/>
        <v>154470</v>
      </c>
      <c r="K23" s="37">
        <f t="shared" si="2"/>
        <v>80638</v>
      </c>
      <c r="L23" s="37">
        <f t="shared" si="2"/>
        <v>3734</v>
      </c>
      <c r="M23" s="37">
        <f t="shared" si="2"/>
        <v>84372</v>
      </c>
    </row>
    <row r="24" spans="1:13" s="825" customFormat="1" ht="12.75">
      <c r="A24" s="160" t="s">
        <v>85</v>
      </c>
      <c r="B24" s="37"/>
      <c r="C24" s="37"/>
      <c r="D24" s="42"/>
      <c r="E24" s="37"/>
      <c r="F24" s="37"/>
      <c r="G24" s="42"/>
      <c r="H24" s="37"/>
      <c r="I24" s="37"/>
      <c r="J24" s="42"/>
      <c r="K24" s="37"/>
      <c r="L24" s="37"/>
      <c r="M24" s="42"/>
    </row>
    <row r="25" spans="1:13" ht="24">
      <c r="A25" s="47" t="s">
        <v>282</v>
      </c>
      <c r="B25" s="42"/>
      <c r="C25" s="42"/>
      <c r="D25" s="42">
        <f aca="true" t="shared" si="3" ref="D25:D33">SUM(B25:C25)</f>
        <v>0</v>
      </c>
      <c r="E25" s="42"/>
      <c r="F25" s="42"/>
      <c r="G25" s="42">
        <f aca="true" t="shared" si="4" ref="G25:G33">SUM(E25:F25)</f>
        <v>0</v>
      </c>
      <c r="H25" s="42"/>
      <c r="I25" s="42"/>
      <c r="J25" s="42">
        <f aca="true" t="shared" si="5" ref="J25:J33">SUM(H25:I25)</f>
        <v>0</v>
      </c>
      <c r="K25" s="42"/>
      <c r="L25" s="42"/>
      <c r="M25" s="42">
        <f aca="true" t="shared" si="6" ref="M25:M33">SUM(K25:L25)</f>
        <v>0</v>
      </c>
    </row>
    <row r="26" spans="1:13" ht="24">
      <c r="A26" s="47" t="s">
        <v>289</v>
      </c>
      <c r="B26" s="42">
        <v>10535</v>
      </c>
      <c r="C26" s="42"/>
      <c r="D26" s="42">
        <f t="shared" si="3"/>
        <v>10535</v>
      </c>
      <c r="E26" s="42">
        <v>12923</v>
      </c>
      <c r="F26" s="42"/>
      <c r="G26" s="42">
        <f t="shared" si="4"/>
        <v>12923</v>
      </c>
      <c r="H26" s="42">
        <v>9773</v>
      </c>
      <c r="I26" s="42">
        <v>300</v>
      </c>
      <c r="J26" s="42">
        <f t="shared" si="5"/>
        <v>10073</v>
      </c>
      <c r="K26" s="42">
        <v>5034</v>
      </c>
      <c r="L26" s="42"/>
      <c r="M26" s="42">
        <f t="shared" si="6"/>
        <v>5034</v>
      </c>
    </row>
    <row r="27" spans="1:13" ht="12.75">
      <c r="A27" s="158" t="s">
        <v>290</v>
      </c>
      <c r="B27" s="42"/>
      <c r="C27" s="42"/>
      <c r="D27" s="42">
        <f t="shared" si="3"/>
        <v>0</v>
      </c>
      <c r="E27" s="42"/>
      <c r="F27" s="42"/>
      <c r="G27" s="42">
        <f t="shared" si="4"/>
        <v>0</v>
      </c>
      <c r="H27" s="42"/>
      <c r="I27" s="42"/>
      <c r="J27" s="42">
        <f t="shared" si="5"/>
        <v>0</v>
      </c>
      <c r="K27" s="42"/>
      <c r="L27" s="42"/>
      <c r="M27" s="42">
        <f t="shared" si="6"/>
        <v>0</v>
      </c>
    </row>
    <row r="28" spans="1:13" ht="12.75">
      <c r="A28" s="158" t="s">
        <v>666</v>
      </c>
      <c r="B28" s="42">
        <v>2104</v>
      </c>
      <c r="C28" s="42"/>
      <c r="D28" s="42">
        <f t="shared" si="3"/>
        <v>2104</v>
      </c>
      <c r="E28" s="42">
        <v>2586</v>
      </c>
      <c r="F28" s="42"/>
      <c r="G28" s="42">
        <f t="shared" si="4"/>
        <v>2586</v>
      </c>
      <c r="H28" s="42">
        <v>1954</v>
      </c>
      <c r="I28" s="42"/>
      <c r="J28" s="42">
        <f t="shared" si="5"/>
        <v>1954</v>
      </c>
      <c r="K28" s="42">
        <v>1007</v>
      </c>
      <c r="L28" s="42"/>
      <c r="M28" s="42">
        <f t="shared" si="6"/>
        <v>1007</v>
      </c>
    </row>
    <row r="29" spans="1:13" ht="12.75">
      <c r="A29" s="158" t="s">
        <v>667</v>
      </c>
      <c r="B29" s="42"/>
      <c r="C29" s="42"/>
      <c r="D29" s="42">
        <f t="shared" si="3"/>
        <v>0</v>
      </c>
      <c r="E29" s="42"/>
      <c r="F29" s="42"/>
      <c r="G29" s="42">
        <f t="shared" si="4"/>
        <v>0</v>
      </c>
      <c r="H29" s="42"/>
      <c r="I29" s="42"/>
      <c r="J29" s="42">
        <f t="shared" si="5"/>
        <v>0</v>
      </c>
      <c r="K29" s="42"/>
      <c r="L29" s="42"/>
      <c r="M29" s="42">
        <f t="shared" si="6"/>
        <v>0</v>
      </c>
    </row>
    <row r="30" spans="1:13" ht="22.5">
      <c r="A30" s="829" t="s">
        <v>417</v>
      </c>
      <c r="B30" s="42"/>
      <c r="C30" s="42"/>
      <c r="D30" s="42">
        <f t="shared" si="3"/>
        <v>0</v>
      </c>
      <c r="E30" s="42">
        <v>577</v>
      </c>
      <c r="F30" s="42"/>
      <c r="G30" s="42">
        <f t="shared" si="4"/>
        <v>577</v>
      </c>
      <c r="H30" s="42">
        <v>378</v>
      </c>
      <c r="I30" s="42"/>
      <c r="J30" s="42">
        <f t="shared" si="5"/>
        <v>378</v>
      </c>
      <c r="K30" s="42"/>
      <c r="L30" s="42"/>
      <c r="M30" s="42">
        <f t="shared" si="6"/>
        <v>0</v>
      </c>
    </row>
    <row r="31" spans="1:13" ht="22.5">
      <c r="A31" s="830" t="s">
        <v>418</v>
      </c>
      <c r="B31" s="42">
        <v>300</v>
      </c>
      <c r="C31" s="42"/>
      <c r="D31" s="42">
        <f t="shared" si="3"/>
        <v>300</v>
      </c>
      <c r="E31" s="42"/>
      <c r="F31" s="42"/>
      <c r="G31" s="42">
        <f t="shared" si="4"/>
        <v>0</v>
      </c>
      <c r="H31" s="42"/>
      <c r="I31" s="42"/>
      <c r="J31" s="42">
        <f t="shared" si="5"/>
        <v>0</v>
      </c>
      <c r="K31" s="42"/>
      <c r="L31" s="42"/>
      <c r="M31" s="42">
        <f t="shared" si="6"/>
        <v>0</v>
      </c>
    </row>
    <row r="32" spans="1:13" ht="12.75">
      <c r="A32" s="158" t="s">
        <v>419</v>
      </c>
      <c r="B32" s="42"/>
      <c r="C32" s="42"/>
      <c r="D32" s="42">
        <f t="shared" si="3"/>
        <v>0</v>
      </c>
      <c r="E32" s="42"/>
      <c r="F32" s="42"/>
      <c r="G32" s="42">
        <f t="shared" si="4"/>
        <v>0</v>
      </c>
      <c r="H32" s="42"/>
      <c r="I32" s="42"/>
      <c r="J32" s="42">
        <f t="shared" si="5"/>
        <v>0</v>
      </c>
      <c r="K32" s="42"/>
      <c r="L32" s="42"/>
      <c r="M32" s="42">
        <f t="shared" si="6"/>
        <v>0</v>
      </c>
    </row>
    <row r="33" spans="1:13" ht="12.75">
      <c r="A33" s="158" t="s">
        <v>420</v>
      </c>
      <c r="B33" s="42">
        <v>1129</v>
      </c>
      <c r="C33" s="42"/>
      <c r="D33" s="42">
        <f t="shared" si="3"/>
        <v>1129</v>
      </c>
      <c r="E33" s="42">
        <v>30667</v>
      </c>
      <c r="F33" s="42"/>
      <c r="G33" s="42">
        <f t="shared" si="4"/>
        <v>30667</v>
      </c>
      <c r="H33" s="42">
        <v>2022</v>
      </c>
      <c r="I33" s="42"/>
      <c r="J33" s="42">
        <f t="shared" si="5"/>
        <v>2022</v>
      </c>
      <c r="K33" s="42">
        <v>107</v>
      </c>
      <c r="L33" s="42"/>
      <c r="M33" s="42">
        <f t="shared" si="6"/>
        <v>107</v>
      </c>
    </row>
    <row r="34" spans="1:13" ht="12.75">
      <c r="A34" s="158" t="s">
        <v>421</v>
      </c>
      <c r="B34" s="42">
        <f aca="true" t="shared" si="7" ref="B34:M34">+B23-B25-B26-B27-B28-B30-B31-B32-B33-B29</f>
        <v>170987</v>
      </c>
      <c r="C34" s="42">
        <f t="shared" si="7"/>
        <v>5634</v>
      </c>
      <c r="D34" s="42">
        <f t="shared" si="7"/>
        <v>176621</v>
      </c>
      <c r="E34" s="42">
        <f t="shared" si="7"/>
        <v>158337</v>
      </c>
      <c r="F34" s="42">
        <f t="shared" si="7"/>
        <v>42270</v>
      </c>
      <c r="G34" s="42">
        <f t="shared" si="7"/>
        <v>200607</v>
      </c>
      <c r="H34" s="42">
        <f t="shared" si="7"/>
        <v>136196</v>
      </c>
      <c r="I34" s="42">
        <f t="shared" si="7"/>
        <v>3847</v>
      </c>
      <c r="J34" s="42">
        <f t="shared" si="7"/>
        <v>140043</v>
      </c>
      <c r="K34" s="42">
        <f t="shared" si="7"/>
        <v>74490</v>
      </c>
      <c r="L34" s="42">
        <f t="shared" si="7"/>
        <v>3734</v>
      </c>
      <c r="M34" s="42">
        <f t="shared" si="7"/>
        <v>78224</v>
      </c>
    </row>
    <row r="35" spans="1:13" ht="12.75">
      <c r="A35" s="826" t="s">
        <v>66</v>
      </c>
      <c r="B35" s="42">
        <v>62302</v>
      </c>
      <c r="C35" s="42"/>
      <c r="D35" s="42">
        <f>SUM(B35:C35)</f>
        <v>62302</v>
      </c>
      <c r="E35" s="42">
        <v>59265</v>
      </c>
      <c r="F35" s="42"/>
      <c r="G35" s="42">
        <f>SUM(E35:F35)</f>
        <v>59265</v>
      </c>
      <c r="H35" s="42">
        <v>44858</v>
      </c>
      <c r="I35" s="42"/>
      <c r="J35" s="42">
        <f>SUM(H35:I35)</f>
        <v>44858</v>
      </c>
      <c r="K35" s="42">
        <v>27881</v>
      </c>
      <c r="L35" s="42"/>
      <c r="M35" s="42">
        <f>SUM(K35:L35)</f>
        <v>27881</v>
      </c>
    </row>
    <row r="36" spans="1:13" ht="12.75">
      <c r="A36" s="803" t="s">
        <v>688</v>
      </c>
      <c r="B36" s="42"/>
      <c r="C36" s="42"/>
      <c r="D36" s="42">
        <f>SUM(B36:C36)</f>
        <v>0</v>
      </c>
      <c r="E36" s="42"/>
      <c r="F36" s="42"/>
      <c r="G36" s="42">
        <f>SUM(E36:F36)</f>
        <v>0</v>
      </c>
      <c r="H36" s="42"/>
      <c r="I36" s="42"/>
      <c r="J36" s="42">
        <f>SUM(H36:I36)</f>
        <v>0</v>
      </c>
      <c r="K36" s="42"/>
      <c r="L36" s="42"/>
      <c r="M36" s="42">
        <f>SUM(K36:L36)</f>
        <v>0</v>
      </c>
    </row>
    <row r="37" spans="1:13" s="825" customFormat="1" ht="12.75">
      <c r="A37" s="162" t="s">
        <v>396</v>
      </c>
      <c r="B37" s="37">
        <f aca="true" t="shared" si="8" ref="B37:M37">SUM(B25:B34)</f>
        <v>185055</v>
      </c>
      <c r="C37" s="37">
        <f t="shared" si="8"/>
        <v>5634</v>
      </c>
      <c r="D37" s="37">
        <f t="shared" si="8"/>
        <v>190689</v>
      </c>
      <c r="E37" s="37">
        <f t="shared" si="8"/>
        <v>205090</v>
      </c>
      <c r="F37" s="37">
        <f t="shared" si="8"/>
        <v>42270</v>
      </c>
      <c r="G37" s="37">
        <f t="shared" si="8"/>
        <v>247360</v>
      </c>
      <c r="H37" s="37">
        <f t="shared" si="8"/>
        <v>150323</v>
      </c>
      <c r="I37" s="37">
        <f t="shared" si="8"/>
        <v>4147</v>
      </c>
      <c r="J37" s="37">
        <f t="shared" si="8"/>
        <v>154470</v>
      </c>
      <c r="K37" s="37">
        <f t="shared" si="8"/>
        <v>80638</v>
      </c>
      <c r="L37" s="37">
        <f t="shared" si="8"/>
        <v>3734</v>
      </c>
      <c r="M37" s="37">
        <f t="shared" si="8"/>
        <v>84372</v>
      </c>
    </row>
    <row r="39" spans="2:11" ht="12.75">
      <c r="B39" s="827"/>
      <c r="E39" s="827"/>
      <c r="H39" s="827"/>
      <c r="K39" s="827"/>
    </row>
  </sheetData>
  <mergeCells count="1">
    <mergeCell ref="L3:M3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&amp;C&amp;"Times New Roman,Normál"5&amp;"MS Sans Serif,Normál"&amp;8
&amp;R&amp;"Times New Roman,Normál"6/a. számú melléklet&amp;"MS Sans Serif,Normál"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B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9" sqref="B9:M9"/>
    </sheetView>
  </sheetViews>
  <sheetFormatPr defaultColWidth="9.140625" defaultRowHeight="12.75"/>
  <cols>
    <col min="1" max="1" width="28.8515625" style="168" customWidth="1"/>
    <col min="2" max="2" width="10.140625" style="168" customWidth="1"/>
    <col min="3" max="3" width="7.421875" style="168" customWidth="1"/>
    <col min="4" max="4" width="9.421875" style="168" bestFit="1" customWidth="1"/>
    <col min="5" max="5" width="10.421875" style="168" customWidth="1"/>
    <col min="6" max="6" width="7.57421875" style="168" customWidth="1"/>
    <col min="7" max="7" width="9.421875" style="168" bestFit="1" customWidth="1"/>
    <col min="8" max="8" width="10.421875" style="168" customWidth="1"/>
    <col min="9" max="9" width="7.00390625" style="168" customWidth="1"/>
    <col min="10" max="10" width="9.421875" style="168" bestFit="1" customWidth="1"/>
    <col min="11" max="11" width="10.00390625" style="168" customWidth="1"/>
    <col min="12" max="12" width="6.7109375" style="168" customWidth="1"/>
    <col min="13" max="13" width="9.421875" style="168" bestFit="1" customWidth="1"/>
    <col min="14" max="16384" width="9.140625" style="808" customWidth="1"/>
  </cols>
  <sheetData>
    <row r="2" spans="1:13" ht="18.75">
      <c r="A2" s="809" t="s">
        <v>659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</row>
    <row r="3" spans="12:13" ht="12.75">
      <c r="L3" s="883" t="s">
        <v>377</v>
      </c>
      <c r="M3" s="883"/>
    </row>
    <row r="4" spans="1:13" ht="12.75">
      <c r="A4" s="811" t="s">
        <v>402</v>
      </c>
      <c r="B4" s="812">
        <v>21</v>
      </c>
      <c r="C4" s="813"/>
      <c r="D4" s="814"/>
      <c r="E4" s="812">
        <v>22</v>
      </c>
      <c r="F4" s="813"/>
      <c r="G4" s="814"/>
      <c r="H4" s="812">
        <v>23</v>
      </c>
      <c r="I4" s="813"/>
      <c r="J4" s="814"/>
      <c r="K4" s="812">
        <v>24</v>
      </c>
      <c r="L4" s="813"/>
      <c r="M4" s="814"/>
    </row>
    <row r="5" spans="1:13" ht="12.75">
      <c r="A5" s="811" t="s">
        <v>170</v>
      </c>
      <c r="B5" s="811"/>
      <c r="C5" s="815"/>
      <c r="D5" s="801"/>
      <c r="E5" s="811"/>
      <c r="F5" s="816"/>
      <c r="G5" s="817"/>
      <c r="H5" s="818"/>
      <c r="I5" s="816"/>
      <c r="J5" s="817"/>
      <c r="K5" s="818"/>
      <c r="L5" s="816"/>
      <c r="M5" s="817"/>
    </row>
    <row r="6" spans="1:13" ht="12.75">
      <c r="A6" s="811" t="s">
        <v>403</v>
      </c>
      <c r="B6" s="812" t="s">
        <v>689</v>
      </c>
      <c r="C6" s="813"/>
      <c r="D6" s="814"/>
      <c r="E6" s="812" t="s">
        <v>690</v>
      </c>
      <c r="F6" s="813"/>
      <c r="G6" s="814"/>
      <c r="H6" s="812" t="s">
        <v>691</v>
      </c>
      <c r="I6" s="813"/>
      <c r="J6" s="814"/>
      <c r="K6" s="812" t="s">
        <v>692</v>
      </c>
      <c r="L6" s="813"/>
      <c r="M6" s="814"/>
    </row>
    <row r="7" spans="1:13" ht="12.75">
      <c r="A7" s="811" t="s">
        <v>404</v>
      </c>
      <c r="B7" s="812">
        <v>801214</v>
      </c>
      <c r="C7" s="813"/>
      <c r="D7" s="814"/>
      <c r="E7" s="812">
        <v>801214</v>
      </c>
      <c r="F7" s="813"/>
      <c r="G7" s="814"/>
      <c r="H7" s="812">
        <v>801214</v>
      </c>
      <c r="I7" s="813"/>
      <c r="J7" s="814"/>
      <c r="K7" s="812">
        <v>801214</v>
      </c>
      <c r="L7" s="813"/>
      <c r="M7" s="814"/>
    </row>
    <row r="8" spans="1:13" ht="12.75">
      <c r="A8" s="820" t="s">
        <v>405</v>
      </c>
      <c r="B8" s="821" t="s">
        <v>406</v>
      </c>
      <c r="C8" s="822"/>
      <c r="D8" s="823"/>
      <c r="E8" s="821"/>
      <c r="F8" s="822"/>
      <c r="G8" s="823"/>
      <c r="H8" s="821"/>
      <c r="I8" s="822"/>
      <c r="J8" s="823"/>
      <c r="K8" s="821"/>
      <c r="L8" s="822"/>
      <c r="M8" s="823"/>
    </row>
    <row r="9" spans="1:13" s="25" customFormat="1" ht="28.5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1.25" customHeight="1">
      <c r="A10" s="118" t="s">
        <v>208</v>
      </c>
      <c r="B10" s="824" t="s">
        <v>209</v>
      </c>
      <c r="C10" s="100" t="s">
        <v>210</v>
      </c>
      <c r="D10" s="100" t="s">
        <v>182</v>
      </c>
      <c r="E10" s="100" t="s">
        <v>183</v>
      </c>
      <c r="F10" s="100" t="s">
        <v>184</v>
      </c>
      <c r="G10" s="100" t="s">
        <v>185</v>
      </c>
      <c r="H10" s="100" t="s">
        <v>186</v>
      </c>
      <c r="I10" s="100" t="s">
        <v>187</v>
      </c>
      <c r="J10" s="100" t="s">
        <v>188</v>
      </c>
      <c r="K10" s="100" t="s">
        <v>189</v>
      </c>
      <c r="L10" s="100" t="s">
        <v>190</v>
      </c>
      <c r="M10" s="100" t="s">
        <v>191</v>
      </c>
    </row>
    <row r="11" spans="1:13" ht="12.75">
      <c r="A11" s="158" t="s">
        <v>408</v>
      </c>
      <c r="B11" s="101">
        <v>39.5</v>
      </c>
      <c r="C11" s="101"/>
      <c r="D11" s="101">
        <f>SUM(B11:C11)</f>
        <v>39.5</v>
      </c>
      <c r="E11" s="101">
        <v>51</v>
      </c>
      <c r="F11" s="101"/>
      <c r="G11" s="101">
        <f>SUM(E11:F11)</f>
        <v>51</v>
      </c>
      <c r="H11" s="101">
        <v>48.5</v>
      </c>
      <c r="I11" s="101"/>
      <c r="J11" s="101">
        <f>SUM(H11:I11)</f>
        <v>48.5</v>
      </c>
      <c r="K11" s="101">
        <v>45</v>
      </c>
      <c r="L11" s="101"/>
      <c r="M11" s="101">
        <f>SUM(K11:L11)</f>
        <v>45</v>
      </c>
    </row>
    <row r="12" spans="1:13" s="825" customFormat="1" ht="12.75">
      <c r="A12" s="160" t="s">
        <v>409</v>
      </c>
      <c r="B12" s="37"/>
      <c r="C12" s="37"/>
      <c r="D12" s="101"/>
      <c r="E12" s="37"/>
      <c r="F12" s="37"/>
      <c r="G12" s="101"/>
      <c r="H12" s="37"/>
      <c r="I12" s="37"/>
      <c r="J12" s="101"/>
      <c r="K12" s="37"/>
      <c r="L12" s="37"/>
      <c r="M12" s="101"/>
    </row>
    <row r="13" spans="1:13" ht="12.75">
      <c r="A13" s="158" t="s">
        <v>410</v>
      </c>
      <c r="B13" s="42">
        <v>87625</v>
      </c>
      <c r="C13" s="42">
        <f>300+2612</f>
        <v>2912</v>
      </c>
      <c r="D13" s="42">
        <f>SUM(B13:C13)</f>
        <v>90537</v>
      </c>
      <c r="E13" s="42">
        <v>122453</v>
      </c>
      <c r="F13" s="42">
        <f>309+3620</f>
        <v>3929</v>
      </c>
      <c r="G13" s="42">
        <f>SUM(E13:F13)</f>
        <v>126382</v>
      </c>
      <c r="H13" s="42">
        <v>119801</v>
      </c>
      <c r="I13" s="42">
        <f>300+3523</f>
        <v>3823</v>
      </c>
      <c r="J13" s="42">
        <f>SUM(H13:I13)</f>
        <v>123624</v>
      </c>
      <c r="K13" s="42">
        <v>106950</v>
      </c>
      <c r="L13" s="42">
        <f>+-328+300+3264</f>
        <v>3236</v>
      </c>
      <c r="M13" s="42">
        <f>SUM(K13:L13)</f>
        <v>110186</v>
      </c>
    </row>
    <row r="14" spans="1:13" ht="12.75">
      <c r="A14" s="158" t="s">
        <v>374</v>
      </c>
      <c r="B14" s="42">
        <v>28123</v>
      </c>
      <c r="C14" s="42">
        <f>87+758+9+78</f>
        <v>932</v>
      </c>
      <c r="D14" s="42">
        <f>SUM(B14:C14)</f>
        <v>29055</v>
      </c>
      <c r="E14" s="42">
        <v>39116</v>
      </c>
      <c r="F14" s="42">
        <f>89+1050+9+108</f>
        <v>1256</v>
      </c>
      <c r="G14" s="42">
        <f>SUM(E14:F14)</f>
        <v>40372</v>
      </c>
      <c r="H14" s="42">
        <v>38339</v>
      </c>
      <c r="I14" s="42">
        <f>87+1021+9+105</f>
        <v>1222</v>
      </c>
      <c r="J14" s="42">
        <f>SUM(H14:I14)</f>
        <v>39561</v>
      </c>
      <c r="K14" s="42">
        <v>34081</v>
      </c>
      <c r="L14" s="42">
        <f>+-36+87+9+946+98</f>
        <v>1104</v>
      </c>
      <c r="M14" s="42">
        <f>SUM(K14:L14)</f>
        <v>35185</v>
      </c>
    </row>
    <row r="15" spans="1:13" ht="12.75">
      <c r="A15" s="158" t="s">
        <v>375</v>
      </c>
      <c r="B15" s="42">
        <v>40372</v>
      </c>
      <c r="C15" s="42">
        <f>200+2150+1805+50+50</f>
        <v>4255</v>
      </c>
      <c r="D15" s="42">
        <f>SUM(B15:C15)</f>
        <v>44627</v>
      </c>
      <c r="E15" s="831">
        <v>69477</v>
      </c>
      <c r="F15" s="42">
        <f>-104+2451+87+82</f>
        <v>2516</v>
      </c>
      <c r="G15" s="42">
        <f>SUM(E15:F15)</f>
        <v>71993</v>
      </c>
      <c r="H15" s="42">
        <v>51142</v>
      </c>
      <c r="I15" s="42">
        <f>94+1783+81+66</f>
        <v>2024</v>
      </c>
      <c r="J15" s="42">
        <f>SUM(H15:I15)</f>
        <v>53166</v>
      </c>
      <c r="K15" s="42">
        <v>50874</v>
      </c>
      <c r="L15" s="42">
        <f>297-65+364+450+1769+81+78</f>
        <v>2974</v>
      </c>
      <c r="M15" s="42">
        <f>SUM(K15:L15)</f>
        <v>53848</v>
      </c>
    </row>
    <row r="16" spans="1:13" ht="22.5">
      <c r="A16" s="829" t="s">
        <v>281</v>
      </c>
      <c r="B16" s="42"/>
      <c r="C16" s="42"/>
      <c r="D16" s="42">
        <f>SUM(B16:C16)</f>
        <v>0</v>
      </c>
      <c r="E16" s="42"/>
      <c r="F16" s="42"/>
      <c r="G16" s="42"/>
      <c r="H16" s="831"/>
      <c r="I16" s="42"/>
      <c r="J16" s="42"/>
      <c r="K16" s="42"/>
      <c r="L16" s="42"/>
      <c r="M16" s="42"/>
    </row>
    <row r="17" spans="1:13" ht="12.75">
      <c r="A17" s="158" t="s">
        <v>665</v>
      </c>
      <c r="B17" s="42">
        <v>125</v>
      </c>
      <c r="C17" s="42"/>
      <c r="D17" s="42">
        <f>SUM(B17:C17)</f>
        <v>125</v>
      </c>
      <c r="E17" s="42"/>
      <c r="F17" s="42"/>
      <c r="G17" s="42"/>
      <c r="H17" s="42">
        <v>330</v>
      </c>
      <c r="I17" s="42"/>
      <c r="J17" s="42">
        <f>SUM(H17:I17)</f>
        <v>330</v>
      </c>
      <c r="K17" s="42"/>
      <c r="L17" s="42"/>
      <c r="M17" s="42"/>
    </row>
    <row r="18" spans="1:13" s="825" customFormat="1" ht="12.75">
      <c r="A18" s="160" t="s">
        <v>376</v>
      </c>
      <c r="B18" s="37">
        <f aca="true" t="shared" si="0" ref="B18:M18">SUM(B13:B17)</f>
        <v>156245</v>
      </c>
      <c r="C18" s="37">
        <f t="shared" si="0"/>
        <v>8099</v>
      </c>
      <c r="D18" s="37">
        <f t="shared" si="0"/>
        <v>164344</v>
      </c>
      <c r="E18" s="37">
        <f t="shared" si="0"/>
        <v>231046</v>
      </c>
      <c r="F18" s="37">
        <f t="shared" si="0"/>
        <v>7701</v>
      </c>
      <c r="G18" s="37">
        <f t="shared" si="0"/>
        <v>238747</v>
      </c>
      <c r="H18" s="37">
        <f t="shared" si="0"/>
        <v>209612</v>
      </c>
      <c r="I18" s="37">
        <f t="shared" si="0"/>
        <v>7069</v>
      </c>
      <c r="J18" s="37">
        <f t="shared" si="0"/>
        <v>216681</v>
      </c>
      <c r="K18" s="37">
        <f t="shared" si="0"/>
        <v>191905</v>
      </c>
      <c r="L18" s="37">
        <f t="shared" si="0"/>
        <v>7314</v>
      </c>
      <c r="M18" s="37">
        <f t="shared" si="0"/>
        <v>199219</v>
      </c>
    </row>
    <row r="19" spans="1:13" ht="12.75">
      <c r="A19" s="158" t="s">
        <v>423</v>
      </c>
      <c r="B19" s="42">
        <v>35557</v>
      </c>
      <c r="C19" s="42">
        <f>39+1673</f>
        <v>1712</v>
      </c>
      <c r="D19" s="42">
        <f>SUM(B19:C19)</f>
        <v>37269</v>
      </c>
      <c r="E19" s="42"/>
      <c r="F19" s="42"/>
      <c r="G19" s="42">
        <f>SUM(E19:F19)</f>
        <v>0</v>
      </c>
      <c r="H19" s="42"/>
      <c r="I19" s="42"/>
      <c r="J19" s="42">
        <f>SUM(H19:I19)</f>
        <v>0</v>
      </c>
      <c r="K19" s="42">
        <v>5154</v>
      </c>
      <c r="L19" s="42">
        <f>-44-50-221</f>
        <v>-315</v>
      </c>
      <c r="M19" s="42">
        <f>SUM(K19:L19)</f>
        <v>4839</v>
      </c>
    </row>
    <row r="20" spans="1:13" ht="12.75">
      <c r="A20" s="158" t="s">
        <v>424</v>
      </c>
      <c r="B20" s="42">
        <v>107</v>
      </c>
      <c r="C20" s="42"/>
      <c r="D20" s="42">
        <f>SUM(B20:C20)</f>
        <v>107</v>
      </c>
      <c r="E20" s="42">
        <v>57</v>
      </c>
      <c r="F20" s="42">
        <v>104</v>
      </c>
      <c r="G20" s="42">
        <f>SUM(E20:F20)</f>
        <v>161</v>
      </c>
      <c r="H20" s="42">
        <v>65</v>
      </c>
      <c r="I20" s="42"/>
      <c r="J20" s="42">
        <f>SUM(H20:I20)</f>
        <v>65</v>
      </c>
      <c r="K20" s="42">
        <v>133</v>
      </c>
      <c r="L20" s="42">
        <v>65</v>
      </c>
      <c r="M20" s="42">
        <f>SUM(K20:L20)</f>
        <v>198</v>
      </c>
    </row>
    <row r="21" spans="1:13" ht="24">
      <c r="A21" s="47" t="s">
        <v>422</v>
      </c>
      <c r="B21" s="42"/>
      <c r="C21" s="42"/>
      <c r="D21" s="42">
        <f>SUM(B21:C21)</f>
        <v>0</v>
      </c>
      <c r="E21" s="42"/>
      <c r="F21" s="42"/>
      <c r="G21" s="42">
        <f>SUM(E21:F21)</f>
        <v>0</v>
      </c>
      <c r="H21" s="42"/>
      <c r="I21" s="42"/>
      <c r="J21" s="42">
        <f>SUM(H21:I21)</f>
        <v>0</v>
      </c>
      <c r="K21" s="42"/>
      <c r="L21" s="42"/>
      <c r="M21" s="42">
        <f>SUM(K21:L21)</f>
        <v>0</v>
      </c>
    </row>
    <row r="22" spans="1:13" s="825" customFormat="1" ht="12.75">
      <c r="A22" s="160" t="s">
        <v>83</v>
      </c>
      <c r="B22" s="37">
        <f aca="true" t="shared" si="1" ref="B22:M22">SUM(B19:B21)</f>
        <v>35664</v>
      </c>
      <c r="C22" s="37">
        <f t="shared" si="1"/>
        <v>1712</v>
      </c>
      <c r="D22" s="37">
        <f t="shared" si="1"/>
        <v>37376</v>
      </c>
      <c r="E22" s="37">
        <f t="shared" si="1"/>
        <v>57</v>
      </c>
      <c r="F22" s="37">
        <f t="shared" si="1"/>
        <v>104</v>
      </c>
      <c r="G22" s="37">
        <f t="shared" si="1"/>
        <v>161</v>
      </c>
      <c r="H22" s="37">
        <f t="shared" si="1"/>
        <v>65</v>
      </c>
      <c r="I22" s="37">
        <f t="shared" si="1"/>
        <v>0</v>
      </c>
      <c r="J22" s="37">
        <f t="shared" si="1"/>
        <v>65</v>
      </c>
      <c r="K22" s="37">
        <f t="shared" si="1"/>
        <v>5287</v>
      </c>
      <c r="L22" s="37">
        <f t="shared" si="1"/>
        <v>-250</v>
      </c>
      <c r="M22" s="37">
        <f t="shared" si="1"/>
        <v>5037</v>
      </c>
    </row>
    <row r="23" spans="1:13" s="825" customFormat="1" ht="12.75">
      <c r="A23" s="162" t="s">
        <v>84</v>
      </c>
      <c r="B23" s="37">
        <f aca="true" t="shared" si="2" ref="B23:M23">SUM(B18+B22)</f>
        <v>191909</v>
      </c>
      <c r="C23" s="37">
        <f t="shared" si="2"/>
        <v>9811</v>
      </c>
      <c r="D23" s="37">
        <f t="shared" si="2"/>
        <v>201720</v>
      </c>
      <c r="E23" s="37">
        <f t="shared" si="2"/>
        <v>231103</v>
      </c>
      <c r="F23" s="37">
        <f t="shared" si="2"/>
        <v>7805</v>
      </c>
      <c r="G23" s="37">
        <f t="shared" si="2"/>
        <v>238908</v>
      </c>
      <c r="H23" s="37">
        <f t="shared" si="2"/>
        <v>209677</v>
      </c>
      <c r="I23" s="37">
        <f t="shared" si="2"/>
        <v>7069</v>
      </c>
      <c r="J23" s="37">
        <f t="shared" si="2"/>
        <v>216746</v>
      </c>
      <c r="K23" s="37">
        <f t="shared" si="2"/>
        <v>197192</v>
      </c>
      <c r="L23" s="37">
        <f t="shared" si="2"/>
        <v>7064</v>
      </c>
      <c r="M23" s="37">
        <f t="shared" si="2"/>
        <v>204256</v>
      </c>
    </row>
    <row r="24" spans="1:13" s="825" customFormat="1" ht="12.75">
      <c r="A24" s="160" t="s">
        <v>85</v>
      </c>
      <c r="B24" s="37"/>
      <c r="C24" s="37"/>
      <c r="D24" s="42"/>
      <c r="E24" s="37"/>
      <c r="F24" s="37"/>
      <c r="G24" s="42"/>
      <c r="H24" s="37"/>
      <c r="I24" s="37"/>
      <c r="J24" s="42"/>
      <c r="K24" s="37"/>
      <c r="L24" s="37"/>
      <c r="M24" s="42"/>
    </row>
    <row r="25" spans="1:13" ht="24">
      <c r="A25" s="47" t="s">
        <v>282</v>
      </c>
      <c r="B25" s="42"/>
      <c r="C25" s="42"/>
      <c r="D25" s="42">
        <f aca="true" t="shared" si="3" ref="D25:D33">SUM(B25:C25)</f>
        <v>0</v>
      </c>
      <c r="E25" s="42"/>
      <c r="F25" s="42"/>
      <c r="G25" s="42">
        <f aca="true" t="shared" si="4" ref="G25:G33">SUM(E25:F25)</f>
        <v>0</v>
      </c>
      <c r="H25" s="42"/>
      <c r="I25" s="42"/>
      <c r="J25" s="42">
        <f aca="true" t="shared" si="5" ref="J25:J33">SUM(H25:I25)</f>
        <v>0</v>
      </c>
      <c r="K25" s="42"/>
      <c r="L25" s="42"/>
      <c r="M25" s="42">
        <f aca="true" t="shared" si="6" ref="M25:M33">SUM(K25:L25)</f>
        <v>0</v>
      </c>
    </row>
    <row r="26" spans="1:13" ht="24">
      <c r="A26" s="47" t="s">
        <v>289</v>
      </c>
      <c r="B26" s="42">
        <v>3660</v>
      </c>
      <c r="C26" s="42"/>
      <c r="D26" s="42">
        <f t="shared" si="3"/>
        <v>3660</v>
      </c>
      <c r="E26" s="42">
        <v>11808</v>
      </c>
      <c r="F26" s="42"/>
      <c r="G26" s="42">
        <f t="shared" si="4"/>
        <v>11808</v>
      </c>
      <c r="H26" s="42">
        <v>8071</v>
      </c>
      <c r="I26" s="42"/>
      <c r="J26" s="42">
        <f t="shared" si="5"/>
        <v>8071</v>
      </c>
      <c r="K26" s="42">
        <v>11517</v>
      </c>
      <c r="L26" s="42"/>
      <c r="M26" s="42">
        <f t="shared" si="6"/>
        <v>11517</v>
      </c>
    </row>
    <row r="27" spans="1:13" ht="12.75">
      <c r="A27" s="158" t="s">
        <v>290</v>
      </c>
      <c r="B27" s="42">
        <v>1453</v>
      </c>
      <c r="C27" s="42"/>
      <c r="D27" s="42">
        <f t="shared" si="3"/>
        <v>1453</v>
      </c>
      <c r="E27" s="42"/>
      <c r="F27" s="42"/>
      <c r="G27" s="42">
        <f t="shared" si="4"/>
        <v>0</v>
      </c>
      <c r="H27" s="42">
        <v>1425</v>
      </c>
      <c r="I27" s="42"/>
      <c r="J27" s="42">
        <f t="shared" si="5"/>
        <v>1425</v>
      </c>
      <c r="K27" s="42"/>
      <c r="L27" s="42"/>
      <c r="M27" s="42">
        <f t="shared" si="6"/>
        <v>0</v>
      </c>
    </row>
    <row r="28" spans="1:13" ht="12.75">
      <c r="A28" s="158" t="s">
        <v>666</v>
      </c>
      <c r="B28" s="42">
        <v>961</v>
      </c>
      <c r="C28" s="42"/>
      <c r="D28" s="42">
        <f t="shared" si="3"/>
        <v>961</v>
      </c>
      <c r="E28" s="42">
        <v>2166</v>
      </c>
      <c r="F28" s="42"/>
      <c r="G28" s="42">
        <f t="shared" si="4"/>
        <v>2166</v>
      </c>
      <c r="H28" s="42">
        <v>1785</v>
      </c>
      <c r="I28" s="42"/>
      <c r="J28" s="42">
        <f t="shared" si="5"/>
        <v>1785</v>
      </c>
      <c r="K28" s="42">
        <v>2267</v>
      </c>
      <c r="L28" s="42"/>
      <c r="M28" s="42">
        <f t="shared" si="6"/>
        <v>2267</v>
      </c>
    </row>
    <row r="29" spans="1:13" ht="12.75">
      <c r="A29" s="158" t="s">
        <v>667</v>
      </c>
      <c r="B29" s="42"/>
      <c r="C29" s="42"/>
      <c r="D29" s="42">
        <f t="shared" si="3"/>
        <v>0</v>
      </c>
      <c r="E29" s="42"/>
      <c r="F29" s="42"/>
      <c r="G29" s="42">
        <f t="shared" si="4"/>
        <v>0</v>
      </c>
      <c r="H29" s="42"/>
      <c r="I29" s="42"/>
      <c r="J29" s="42">
        <f t="shared" si="5"/>
        <v>0</v>
      </c>
      <c r="K29" s="42"/>
      <c r="L29" s="42"/>
      <c r="M29" s="42">
        <f t="shared" si="6"/>
        <v>0</v>
      </c>
    </row>
    <row r="30" spans="1:13" ht="22.5">
      <c r="A30" s="829" t="s">
        <v>417</v>
      </c>
      <c r="B30" s="42">
        <v>177</v>
      </c>
      <c r="C30" s="42"/>
      <c r="D30" s="42">
        <f t="shared" si="3"/>
        <v>177</v>
      </c>
      <c r="E30" s="42"/>
      <c r="F30" s="42"/>
      <c r="G30" s="42">
        <f t="shared" si="4"/>
        <v>0</v>
      </c>
      <c r="H30" s="42">
        <v>90</v>
      </c>
      <c r="I30" s="42"/>
      <c r="J30" s="42">
        <f t="shared" si="5"/>
        <v>90</v>
      </c>
      <c r="K30" s="42">
        <v>250</v>
      </c>
      <c r="L30" s="42"/>
      <c r="M30" s="42">
        <f t="shared" si="6"/>
        <v>250</v>
      </c>
    </row>
    <row r="31" spans="1:13" ht="22.5">
      <c r="A31" s="830" t="s">
        <v>418</v>
      </c>
      <c r="B31" s="42"/>
      <c r="C31" s="42"/>
      <c r="D31" s="42">
        <f t="shared" si="3"/>
        <v>0</v>
      </c>
      <c r="E31" s="42"/>
      <c r="F31" s="42"/>
      <c r="G31" s="42">
        <f t="shared" si="4"/>
        <v>0</v>
      </c>
      <c r="H31" s="42"/>
      <c r="I31" s="42"/>
      <c r="J31" s="42">
        <f t="shared" si="5"/>
        <v>0</v>
      </c>
      <c r="K31" s="42"/>
      <c r="L31" s="42"/>
      <c r="M31" s="42">
        <f t="shared" si="6"/>
        <v>0</v>
      </c>
    </row>
    <row r="32" spans="1:13" ht="12.75">
      <c r="A32" s="158" t="s">
        <v>419</v>
      </c>
      <c r="B32" s="42"/>
      <c r="C32" s="42"/>
      <c r="D32" s="42">
        <f t="shared" si="3"/>
        <v>0</v>
      </c>
      <c r="E32" s="42"/>
      <c r="F32" s="42"/>
      <c r="G32" s="42">
        <f t="shared" si="4"/>
        <v>0</v>
      </c>
      <c r="H32" s="42"/>
      <c r="I32" s="42"/>
      <c r="J32" s="42">
        <f t="shared" si="5"/>
        <v>0</v>
      </c>
      <c r="K32" s="42"/>
      <c r="L32" s="42"/>
      <c r="M32" s="42">
        <f t="shared" si="6"/>
        <v>0</v>
      </c>
    </row>
    <row r="33" spans="1:13" ht="12.75">
      <c r="A33" s="158" t="s">
        <v>420</v>
      </c>
      <c r="B33" s="42">
        <v>9794</v>
      </c>
      <c r="C33" s="42"/>
      <c r="D33" s="42">
        <f t="shared" si="3"/>
        <v>9794</v>
      </c>
      <c r="E33" s="42">
        <v>3740</v>
      </c>
      <c r="F33" s="42"/>
      <c r="G33" s="42">
        <f t="shared" si="4"/>
        <v>3740</v>
      </c>
      <c r="H33" s="42">
        <v>1663</v>
      </c>
      <c r="I33" s="42"/>
      <c r="J33" s="42">
        <f t="shared" si="5"/>
        <v>1663</v>
      </c>
      <c r="K33" s="42">
        <v>1294</v>
      </c>
      <c r="L33" s="42"/>
      <c r="M33" s="42">
        <f t="shared" si="6"/>
        <v>1294</v>
      </c>
    </row>
    <row r="34" spans="1:13" ht="12.75">
      <c r="A34" s="158" t="s">
        <v>421</v>
      </c>
      <c r="B34" s="42">
        <f aca="true" t="shared" si="7" ref="B34:M34">+B23-B25-B26-B27-B28-B30-B31-B32-B33-B29</f>
        <v>175864</v>
      </c>
      <c r="C34" s="42">
        <f t="shared" si="7"/>
        <v>9811</v>
      </c>
      <c r="D34" s="42">
        <f t="shared" si="7"/>
        <v>185675</v>
      </c>
      <c r="E34" s="42">
        <f t="shared" si="7"/>
        <v>213389</v>
      </c>
      <c r="F34" s="42">
        <f t="shared" si="7"/>
        <v>7805</v>
      </c>
      <c r="G34" s="42">
        <f t="shared" si="7"/>
        <v>221194</v>
      </c>
      <c r="H34" s="42">
        <f t="shared" si="7"/>
        <v>196643</v>
      </c>
      <c r="I34" s="42">
        <f t="shared" si="7"/>
        <v>7069</v>
      </c>
      <c r="J34" s="42">
        <f t="shared" si="7"/>
        <v>203712</v>
      </c>
      <c r="K34" s="42">
        <f t="shared" si="7"/>
        <v>181864</v>
      </c>
      <c r="L34" s="42">
        <f t="shared" si="7"/>
        <v>7064</v>
      </c>
      <c r="M34" s="42">
        <f t="shared" si="7"/>
        <v>188928</v>
      </c>
    </row>
    <row r="35" spans="1:13" ht="12.75">
      <c r="A35" s="826" t="s">
        <v>66</v>
      </c>
      <c r="B35" s="42">
        <v>61189</v>
      </c>
      <c r="C35" s="42"/>
      <c r="D35" s="42">
        <f>SUM(B35:C35)</f>
        <v>61189</v>
      </c>
      <c r="E35" s="42">
        <v>89613</v>
      </c>
      <c r="F35" s="42"/>
      <c r="G35" s="42">
        <f>SUM(E35:F35)</f>
        <v>89613</v>
      </c>
      <c r="H35" s="42">
        <v>78339</v>
      </c>
      <c r="I35" s="42"/>
      <c r="J35" s="42">
        <f>SUM(H35:I35)</f>
        <v>78339</v>
      </c>
      <c r="K35" s="42">
        <v>84731</v>
      </c>
      <c r="L35" s="42"/>
      <c r="M35" s="42">
        <f>SUM(K35:L35)</f>
        <v>84731</v>
      </c>
    </row>
    <row r="36" spans="1:13" ht="12.75">
      <c r="A36" s="803" t="s">
        <v>693</v>
      </c>
      <c r="B36" s="42"/>
      <c r="C36" s="42"/>
      <c r="D36" s="42">
        <f>SUM(B36:C36)</f>
        <v>0</v>
      </c>
      <c r="E36" s="42"/>
      <c r="F36" s="42"/>
      <c r="G36" s="42">
        <f>SUM(E36:F36)</f>
        <v>0</v>
      </c>
      <c r="H36" s="42"/>
      <c r="I36" s="42"/>
      <c r="J36" s="42">
        <f>SUM(H36:I36)</f>
        <v>0</v>
      </c>
      <c r="K36" s="42"/>
      <c r="L36" s="42"/>
      <c r="M36" s="42">
        <f>SUM(K36:L36)</f>
        <v>0</v>
      </c>
    </row>
    <row r="37" spans="1:13" s="825" customFormat="1" ht="12.75">
      <c r="A37" s="162" t="s">
        <v>396</v>
      </c>
      <c r="B37" s="37">
        <f aca="true" t="shared" si="8" ref="B37:M37">SUM(B25:B34)</f>
        <v>191909</v>
      </c>
      <c r="C37" s="37">
        <f t="shared" si="8"/>
        <v>9811</v>
      </c>
      <c r="D37" s="37">
        <f t="shared" si="8"/>
        <v>201720</v>
      </c>
      <c r="E37" s="37">
        <f t="shared" si="8"/>
        <v>231103</v>
      </c>
      <c r="F37" s="37">
        <f t="shared" si="8"/>
        <v>7805</v>
      </c>
      <c r="G37" s="37">
        <f t="shared" si="8"/>
        <v>238908</v>
      </c>
      <c r="H37" s="37">
        <f t="shared" si="8"/>
        <v>209677</v>
      </c>
      <c r="I37" s="37">
        <f t="shared" si="8"/>
        <v>7069</v>
      </c>
      <c r="J37" s="37">
        <f t="shared" si="8"/>
        <v>216746</v>
      </c>
      <c r="K37" s="37">
        <f t="shared" si="8"/>
        <v>197192</v>
      </c>
      <c r="L37" s="37">
        <f t="shared" si="8"/>
        <v>7064</v>
      </c>
      <c r="M37" s="37">
        <f t="shared" si="8"/>
        <v>204256</v>
      </c>
    </row>
    <row r="39" spans="2:11" ht="12.75">
      <c r="B39" s="827"/>
      <c r="E39" s="827"/>
      <c r="H39" s="827"/>
      <c r="K39" s="827"/>
    </row>
  </sheetData>
  <mergeCells count="1">
    <mergeCell ref="L3:M3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&amp;C&amp;"Times New Roman,Normál"6&amp;R&amp;"Times New Roman,Normál"6/a. számú melléklet&amp;"MS Sans Serif,Normál"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B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9" sqref="B9:M9"/>
    </sheetView>
  </sheetViews>
  <sheetFormatPr defaultColWidth="9.140625" defaultRowHeight="12.75"/>
  <cols>
    <col min="1" max="1" width="28.8515625" style="168" customWidth="1"/>
    <col min="2" max="2" width="10.00390625" style="168" customWidth="1"/>
    <col min="3" max="3" width="7.7109375" style="168" customWidth="1"/>
    <col min="4" max="4" width="9.421875" style="168" bestFit="1" customWidth="1"/>
    <col min="5" max="5" width="10.140625" style="168" customWidth="1"/>
    <col min="6" max="6" width="7.8515625" style="168" customWidth="1"/>
    <col min="7" max="7" width="9.421875" style="168" bestFit="1" customWidth="1"/>
    <col min="8" max="8" width="10.140625" style="168" customWidth="1"/>
    <col min="9" max="9" width="7.7109375" style="168" customWidth="1"/>
    <col min="10" max="10" width="9.421875" style="168" bestFit="1" customWidth="1"/>
    <col min="11" max="11" width="10.140625" style="808" customWidth="1"/>
    <col min="12" max="12" width="7.7109375" style="808" customWidth="1"/>
    <col min="13" max="16384" width="9.140625" style="808" customWidth="1"/>
  </cols>
  <sheetData>
    <row r="1" ht="8.25" customHeight="1"/>
    <row r="2" spans="1:13" ht="18.75">
      <c r="A2" s="884" t="s">
        <v>659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</row>
    <row r="3" spans="9:13" ht="13.5" customHeight="1">
      <c r="I3" s="828"/>
      <c r="J3" s="828"/>
      <c r="L3" s="883" t="s">
        <v>377</v>
      </c>
      <c r="M3" s="883"/>
    </row>
    <row r="4" spans="1:13" ht="12.75">
      <c r="A4" s="811" t="s">
        <v>402</v>
      </c>
      <c r="B4" s="812">
        <v>25</v>
      </c>
      <c r="C4" s="813"/>
      <c r="D4" s="814"/>
      <c r="E4" s="812">
        <v>26</v>
      </c>
      <c r="F4" s="813"/>
      <c r="G4" s="814"/>
      <c r="H4" s="812">
        <v>27</v>
      </c>
      <c r="I4" s="813"/>
      <c r="J4" s="814"/>
      <c r="K4" s="812">
        <v>28</v>
      </c>
      <c r="L4" s="813"/>
      <c r="M4" s="814"/>
    </row>
    <row r="5" spans="1:13" ht="12.75">
      <c r="A5" s="811" t="s">
        <v>170</v>
      </c>
      <c r="B5" s="811"/>
      <c r="C5" s="815"/>
      <c r="D5" s="801"/>
      <c r="E5" s="818"/>
      <c r="F5" s="816"/>
      <c r="G5" s="817"/>
      <c r="H5" s="818"/>
      <c r="I5" s="816"/>
      <c r="J5" s="817"/>
      <c r="K5" s="811"/>
      <c r="L5" s="815"/>
      <c r="M5" s="801"/>
    </row>
    <row r="6" spans="1:13" ht="12.75">
      <c r="A6" s="811" t="s">
        <v>403</v>
      </c>
      <c r="B6" s="812" t="s">
        <v>694</v>
      </c>
      <c r="C6" s="813"/>
      <c r="D6" s="814"/>
      <c r="E6" s="812" t="s">
        <v>695</v>
      </c>
      <c r="F6" s="813"/>
      <c r="G6" s="814"/>
      <c r="H6" s="812" t="s">
        <v>696</v>
      </c>
      <c r="I6" s="813"/>
      <c r="J6" s="814"/>
      <c r="K6" s="812" t="s">
        <v>697</v>
      </c>
      <c r="L6" s="813"/>
      <c r="M6" s="814"/>
    </row>
    <row r="7" spans="1:13" ht="12.75">
      <c r="A7" s="811" t="s">
        <v>404</v>
      </c>
      <c r="B7" s="812">
        <v>801214</v>
      </c>
      <c r="C7" s="813"/>
      <c r="D7" s="814"/>
      <c r="E7" s="812">
        <v>801214</v>
      </c>
      <c r="F7" s="813"/>
      <c r="G7" s="814"/>
      <c r="H7" s="812">
        <v>801214</v>
      </c>
      <c r="I7" s="813"/>
      <c r="J7" s="814"/>
      <c r="K7" s="812">
        <v>801214</v>
      </c>
      <c r="L7" s="813"/>
      <c r="M7" s="814"/>
    </row>
    <row r="8" spans="1:13" ht="12.75">
      <c r="A8" s="820" t="s">
        <v>405</v>
      </c>
      <c r="B8" s="821" t="s">
        <v>406</v>
      </c>
      <c r="C8" s="822"/>
      <c r="D8" s="823"/>
      <c r="E8" s="821"/>
      <c r="F8" s="822"/>
      <c r="G8" s="823"/>
      <c r="H8" s="821"/>
      <c r="I8" s="822"/>
      <c r="J8" s="823"/>
      <c r="K8" s="821"/>
      <c r="L8" s="822"/>
      <c r="M8" s="823"/>
    </row>
    <row r="9" spans="1:13" s="25" customFormat="1" ht="34.5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1.25" customHeight="1">
      <c r="A10" s="118" t="s">
        <v>208</v>
      </c>
      <c r="B10" s="824" t="s">
        <v>209</v>
      </c>
      <c r="C10" s="100" t="s">
        <v>210</v>
      </c>
      <c r="D10" s="100" t="s">
        <v>182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10</v>
      </c>
      <c r="K10" s="824">
        <v>11</v>
      </c>
      <c r="L10" s="100">
        <v>12</v>
      </c>
      <c r="M10" s="100">
        <v>13</v>
      </c>
    </row>
    <row r="11" spans="1:13" ht="12.75">
      <c r="A11" s="158" t="s">
        <v>408</v>
      </c>
      <c r="B11" s="101">
        <v>46</v>
      </c>
      <c r="C11" s="101"/>
      <c r="D11" s="101">
        <f>SUM(B11:C11)</f>
        <v>46</v>
      </c>
      <c r="E11" s="101">
        <v>44.5</v>
      </c>
      <c r="F11" s="101"/>
      <c r="G11" s="101">
        <f>SUM(E11:F11)</f>
        <v>44.5</v>
      </c>
      <c r="H11" s="101">
        <v>29</v>
      </c>
      <c r="I11" s="101"/>
      <c r="J11" s="101">
        <f>SUM(H11:I11)</f>
        <v>29</v>
      </c>
      <c r="K11" s="101">
        <v>42</v>
      </c>
      <c r="L11" s="101"/>
      <c r="M11" s="101">
        <f>SUM(K11:L11)</f>
        <v>42</v>
      </c>
    </row>
    <row r="12" spans="1:13" s="825" customFormat="1" ht="12.75">
      <c r="A12" s="160" t="s">
        <v>409</v>
      </c>
      <c r="B12" s="37"/>
      <c r="C12" s="37"/>
      <c r="D12" s="101"/>
      <c r="E12" s="37"/>
      <c r="F12" s="37"/>
      <c r="G12" s="101"/>
      <c r="H12" s="37"/>
      <c r="I12" s="37"/>
      <c r="J12" s="101"/>
      <c r="K12" s="37"/>
      <c r="L12" s="37"/>
      <c r="M12" s="101"/>
    </row>
    <row r="13" spans="1:13" ht="12.75">
      <c r="A13" s="158" t="s">
        <v>410</v>
      </c>
      <c r="B13" s="42">
        <v>108047</v>
      </c>
      <c r="C13" s="42">
        <f>300+3223</f>
        <v>3523</v>
      </c>
      <c r="D13" s="42">
        <f>SUM(B13:C13)</f>
        <v>111570</v>
      </c>
      <c r="E13" s="42">
        <v>108633</v>
      </c>
      <c r="F13" s="42">
        <f>309+3228</f>
        <v>3537</v>
      </c>
      <c r="G13" s="42">
        <f>SUM(E13:F13)</f>
        <v>112170</v>
      </c>
      <c r="H13" s="42">
        <v>67805</v>
      </c>
      <c r="I13" s="42">
        <f>300+1908</f>
        <v>2208</v>
      </c>
      <c r="J13" s="42">
        <f>SUM(H13:I13)</f>
        <v>70013</v>
      </c>
      <c r="K13" s="42">
        <v>101590</v>
      </c>
      <c r="L13" s="42">
        <f>300+2650</f>
        <v>2950</v>
      </c>
      <c r="M13" s="42">
        <f>SUM(K13:L13)</f>
        <v>104540</v>
      </c>
    </row>
    <row r="14" spans="1:13" ht="12.75">
      <c r="A14" s="158" t="s">
        <v>374</v>
      </c>
      <c r="B14" s="42">
        <v>34754</v>
      </c>
      <c r="C14" s="42">
        <f>87+9+935+97</f>
        <v>1128</v>
      </c>
      <c r="D14" s="42">
        <f>SUM(B14:C14)</f>
        <v>35882</v>
      </c>
      <c r="E14" s="42">
        <v>34796</v>
      </c>
      <c r="F14" s="42">
        <f>89+935+9+96</f>
        <v>1129</v>
      </c>
      <c r="G14" s="42">
        <f>SUM(E14:F14)</f>
        <v>35925</v>
      </c>
      <c r="H14" s="42">
        <v>21800</v>
      </c>
      <c r="I14" s="42">
        <f>87+555+8+59</f>
        <v>709</v>
      </c>
      <c r="J14" s="42">
        <f>SUM(H14:I14)</f>
        <v>22509</v>
      </c>
      <c r="K14" s="42">
        <v>32638</v>
      </c>
      <c r="L14" s="42">
        <f>87+769+9+80</f>
        <v>945</v>
      </c>
      <c r="M14" s="42">
        <f>SUM(K14:L14)</f>
        <v>33583</v>
      </c>
    </row>
    <row r="15" spans="1:13" ht="12.75">
      <c r="A15" s="158" t="s">
        <v>375</v>
      </c>
      <c r="B15" s="42">
        <v>67981</v>
      </c>
      <c r="C15" s="42">
        <f>40+2166+294+81</f>
        <v>2581</v>
      </c>
      <c r="D15" s="42">
        <f>SUM(B15:C15)</f>
        <v>70562</v>
      </c>
      <c r="E15" s="42">
        <v>44135</v>
      </c>
      <c r="F15" s="42">
        <f>-1145+100+1000+91+2014+125+77</f>
        <v>2262</v>
      </c>
      <c r="G15" s="42">
        <f>SUM(E15:F15)</f>
        <v>46397</v>
      </c>
      <c r="H15" s="42">
        <v>31786</v>
      </c>
      <c r="I15" s="42">
        <f>1242+75+36</f>
        <v>1353</v>
      </c>
      <c r="J15" s="42">
        <f>SUM(H15:I15)</f>
        <v>33139</v>
      </c>
      <c r="K15" s="42">
        <v>48060</v>
      </c>
      <c r="L15" s="42">
        <f>-68+182+1916+69+53</f>
        <v>2152</v>
      </c>
      <c r="M15" s="42">
        <f>SUM(K15:L15)</f>
        <v>50212</v>
      </c>
    </row>
    <row r="16" spans="1:13" ht="22.5">
      <c r="A16" s="829" t="s">
        <v>281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158" t="s">
        <v>665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s="825" customFormat="1" ht="12.75">
      <c r="A18" s="160" t="s">
        <v>376</v>
      </c>
      <c r="B18" s="37">
        <f aca="true" t="shared" si="0" ref="B18:M18">SUM(B13:B17)</f>
        <v>210782</v>
      </c>
      <c r="C18" s="37">
        <f t="shared" si="0"/>
        <v>7232</v>
      </c>
      <c r="D18" s="37">
        <f t="shared" si="0"/>
        <v>218014</v>
      </c>
      <c r="E18" s="37">
        <f t="shared" si="0"/>
        <v>187564</v>
      </c>
      <c r="F18" s="37">
        <f t="shared" si="0"/>
        <v>6928</v>
      </c>
      <c r="G18" s="37">
        <f t="shared" si="0"/>
        <v>194492</v>
      </c>
      <c r="H18" s="37">
        <f t="shared" si="0"/>
        <v>121391</v>
      </c>
      <c r="I18" s="37">
        <f t="shared" si="0"/>
        <v>4270</v>
      </c>
      <c r="J18" s="37">
        <f t="shared" si="0"/>
        <v>125661</v>
      </c>
      <c r="K18" s="37">
        <f t="shared" si="0"/>
        <v>182288</v>
      </c>
      <c r="L18" s="37">
        <f t="shared" si="0"/>
        <v>6047</v>
      </c>
      <c r="M18" s="37">
        <f t="shared" si="0"/>
        <v>188335</v>
      </c>
    </row>
    <row r="19" spans="1:13" ht="12.75">
      <c r="A19" s="158" t="s">
        <v>423</v>
      </c>
      <c r="B19" s="42"/>
      <c r="C19" s="42"/>
      <c r="D19" s="42">
        <f>SUM(B19:C19)</f>
        <v>0</v>
      </c>
      <c r="E19" s="42">
        <v>24760</v>
      </c>
      <c r="F19" s="42"/>
      <c r="G19" s="42">
        <f>SUM(E19:F19)</f>
        <v>24760</v>
      </c>
      <c r="H19" s="42">
        <v>5250</v>
      </c>
      <c r="I19" s="42">
        <v>-1022</v>
      </c>
      <c r="J19" s="42">
        <f>SUM(H19:I19)</f>
        <v>4228</v>
      </c>
      <c r="K19" s="42"/>
      <c r="L19" s="42"/>
      <c r="M19" s="42">
        <f>SUM(K19:L19)</f>
        <v>0</v>
      </c>
    </row>
    <row r="20" spans="1:13" ht="12.75">
      <c r="A20" s="158" t="s">
        <v>424</v>
      </c>
      <c r="B20" s="42">
        <v>56</v>
      </c>
      <c r="C20" s="42"/>
      <c r="D20" s="42">
        <f>SUM(B20:C20)</f>
        <v>56</v>
      </c>
      <c r="E20" s="42">
        <v>246</v>
      </c>
      <c r="F20" s="42">
        <v>1145</v>
      </c>
      <c r="G20" s="42">
        <f>SUM(E20:F20)</f>
        <v>1391</v>
      </c>
      <c r="H20" s="42">
        <v>16</v>
      </c>
      <c r="I20" s="42"/>
      <c r="J20" s="42">
        <f>SUM(H20:I20)</f>
        <v>16</v>
      </c>
      <c r="K20" s="42">
        <v>68</v>
      </c>
      <c r="L20" s="42">
        <v>68</v>
      </c>
      <c r="M20" s="42">
        <f>SUM(K20:L20)</f>
        <v>136</v>
      </c>
    </row>
    <row r="21" spans="1:13" ht="24">
      <c r="A21" s="47" t="s">
        <v>422</v>
      </c>
      <c r="B21" s="42"/>
      <c r="C21" s="42"/>
      <c r="D21" s="42">
        <f>SUM(B21:C21)</f>
        <v>0</v>
      </c>
      <c r="E21" s="42"/>
      <c r="F21" s="42"/>
      <c r="G21" s="42">
        <f>SUM(E21:F21)</f>
        <v>0</v>
      </c>
      <c r="H21" s="42"/>
      <c r="I21" s="42"/>
      <c r="J21" s="42">
        <f>SUM(H21:I21)</f>
        <v>0</v>
      </c>
      <c r="K21" s="42"/>
      <c r="L21" s="42"/>
      <c r="M21" s="42">
        <f>SUM(K21:L21)</f>
        <v>0</v>
      </c>
    </row>
    <row r="22" spans="1:13" s="825" customFormat="1" ht="12.75">
      <c r="A22" s="160" t="s">
        <v>83</v>
      </c>
      <c r="B22" s="37">
        <f aca="true" t="shared" si="1" ref="B22:M22">SUM(B19:B21)</f>
        <v>56</v>
      </c>
      <c r="C22" s="37">
        <f t="shared" si="1"/>
        <v>0</v>
      </c>
      <c r="D22" s="37">
        <f t="shared" si="1"/>
        <v>56</v>
      </c>
      <c r="E22" s="37">
        <f t="shared" si="1"/>
        <v>25006</v>
      </c>
      <c r="F22" s="37">
        <f t="shared" si="1"/>
        <v>1145</v>
      </c>
      <c r="G22" s="37">
        <f t="shared" si="1"/>
        <v>26151</v>
      </c>
      <c r="H22" s="37">
        <f t="shared" si="1"/>
        <v>5266</v>
      </c>
      <c r="I22" s="37">
        <f t="shared" si="1"/>
        <v>-1022</v>
      </c>
      <c r="J22" s="37">
        <f t="shared" si="1"/>
        <v>4244</v>
      </c>
      <c r="K22" s="37">
        <f t="shared" si="1"/>
        <v>68</v>
      </c>
      <c r="L22" s="37">
        <f t="shared" si="1"/>
        <v>68</v>
      </c>
      <c r="M22" s="37">
        <f t="shared" si="1"/>
        <v>136</v>
      </c>
    </row>
    <row r="23" spans="1:13" s="825" customFormat="1" ht="12.75">
      <c r="A23" s="162" t="s">
        <v>84</v>
      </c>
      <c r="B23" s="37">
        <f aca="true" t="shared" si="2" ref="B23:M23">SUM(B18+B22)</f>
        <v>210838</v>
      </c>
      <c r="C23" s="37">
        <f t="shared" si="2"/>
        <v>7232</v>
      </c>
      <c r="D23" s="37">
        <f t="shared" si="2"/>
        <v>218070</v>
      </c>
      <c r="E23" s="37">
        <f t="shared" si="2"/>
        <v>212570</v>
      </c>
      <c r="F23" s="37">
        <f t="shared" si="2"/>
        <v>8073</v>
      </c>
      <c r="G23" s="37">
        <f t="shared" si="2"/>
        <v>220643</v>
      </c>
      <c r="H23" s="37">
        <f t="shared" si="2"/>
        <v>126657</v>
      </c>
      <c r="I23" s="37">
        <f t="shared" si="2"/>
        <v>3248</v>
      </c>
      <c r="J23" s="37">
        <f t="shared" si="2"/>
        <v>129905</v>
      </c>
      <c r="K23" s="37">
        <f t="shared" si="2"/>
        <v>182356</v>
      </c>
      <c r="L23" s="37">
        <f t="shared" si="2"/>
        <v>6115</v>
      </c>
      <c r="M23" s="37">
        <f t="shared" si="2"/>
        <v>188471</v>
      </c>
    </row>
    <row r="24" spans="1:13" s="825" customFormat="1" ht="12.75">
      <c r="A24" s="160" t="s">
        <v>85</v>
      </c>
      <c r="B24" s="37"/>
      <c r="C24" s="37"/>
      <c r="D24" s="42"/>
      <c r="E24" s="37"/>
      <c r="F24" s="37"/>
      <c r="G24" s="42"/>
      <c r="H24" s="37"/>
      <c r="I24" s="37"/>
      <c r="J24" s="42"/>
      <c r="K24" s="37"/>
      <c r="L24" s="37"/>
      <c r="M24" s="42"/>
    </row>
    <row r="25" spans="1:13" ht="22.5">
      <c r="A25" s="829" t="s">
        <v>282</v>
      </c>
      <c r="B25" s="42"/>
      <c r="C25" s="42"/>
      <c r="D25" s="42">
        <f aca="true" t="shared" si="3" ref="D25:D33">SUM(B25:C25)</f>
        <v>0</v>
      </c>
      <c r="E25" s="42"/>
      <c r="F25" s="42"/>
      <c r="G25" s="42">
        <f aca="true" t="shared" si="4" ref="G25:G33">SUM(E25:F25)</f>
        <v>0</v>
      </c>
      <c r="H25" s="42"/>
      <c r="I25" s="42"/>
      <c r="J25" s="42">
        <f aca="true" t="shared" si="5" ref="J25:J33">SUM(H25:I25)</f>
        <v>0</v>
      </c>
      <c r="K25" s="42"/>
      <c r="L25" s="42"/>
      <c r="M25" s="42">
        <f aca="true" t="shared" si="6" ref="M25:M33">SUM(K25:L25)</f>
        <v>0</v>
      </c>
    </row>
    <row r="26" spans="1:13" ht="22.5">
      <c r="A26" s="829" t="s">
        <v>289</v>
      </c>
      <c r="B26" s="42">
        <v>12867</v>
      </c>
      <c r="C26" s="42"/>
      <c r="D26" s="42">
        <f t="shared" si="3"/>
        <v>12867</v>
      </c>
      <c r="E26" s="42">
        <v>9640</v>
      </c>
      <c r="F26" s="42">
        <v>100</v>
      </c>
      <c r="G26" s="42">
        <f t="shared" si="4"/>
        <v>9740</v>
      </c>
      <c r="H26" s="42">
        <v>4699</v>
      </c>
      <c r="I26" s="42"/>
      <c r="J26" s="42">
        <f t="shared" si="5"/>
        <v>4699</v>
      </c>
      <c r="K26" s="42">
        <v>4355</v>
      </c>
      <c r="L26" s="42"/>
      <c r="M26" s="42">
        <f t="shared" si="6"/>
        <v>4355</v>
      </c>
    </row>
    <row r="27" spans="1:13" ht="12.75">
      <c r="A27" s="158" t="s">
        <v>290</v>
      </c>
      <c r="B27" s="42">
        <v>677</v>
      </c>
      <c r="C27" s="42"/>
      <c r="D27" s="42">
        <f t="shared" si="3"/>
        <v>677</v>
      </c>
      <c r="E27" s="42"/>
      <c r="F27" s="42"/>
      <c r="G27" s="42">
        <f t="shared" si="4"/>
        <v>0</v>
      </c>
      <c r="H27" s="42"/>
      <c r="I27" s="42"/>
      <c r="J27" s="42">
        <f t="shared" si="5"/>
        <v>0</v>
      </c>
      <c r="K27" s="42"/>
      <c r="L27" s="42"/>
      <c r="M27" s="42">
        <f t="shared" si="6"/>
        <v>0</v>
      </c>
    </row>
    <row r="28" spans="1:13" ht="12.75">
      <c r="A28" s="158" t="s">
        <v>666</v>
      </c>
      <c r="B28" s="42">
        <v>2457</v>
      </c>
      <c r="C28" s="42"/>
      <c r="D28" s="42">
        <f t="shared" si="3"/>
        <v>2457</v>
      </c>
      <c r="E28" s="42">
        <v>1609</v>
      </c>
      <c r="F28" s="42"/>
      <c r="G28" s="42">
        <f t="shared" si="4"/>
        <v>1609</v>
      </c>
      <c r="H28" s="42">
        <v>925</v>
      </c>
      <c r="I28" s="42"/>
      <c r="J28" s="42">
        <f t="shared" si="5"/>
        <v>925</v>
      </c>
      <c r="K28" s="42">
        <v>757</v>
      </c>
      <c r="L28" s="42"/>
      <c r="M28" s="42">
        <f t="shared" si="6"/>
        <v>757</v>
      </c>
    </row>
    <row r="29" spans="1:13" ht="12.75">
      <c r="A29" s="158" t="s">
        <v>667</v>
      </c>
      <c r="C29" s="42"/>
      <c r="D29" s="42">
        <f t="shared" si="3"/>
        <v>0</v>
      </c>
      <c r="F29" s="42"/>
      <c r="G29" s="42">
        <f t="shared" si="4"/>
        <v>0</v>
      </c>
      <c r="I29" s="42"/>
      <c r="J29" s="42">
        <f t="shared" si="5"/>
        <v>0</v>
      </c>
      <c r="K29" s="42"/>
      <c r="L29" s="42"/>
      <c r="M29" s="42">
        <f t="shared" si="6"/>
        <v>0</v>
      </c>
    </row>
    <row r="30" spans="1:13" ht="24">
      <c r="A30" s="47" t="s">
        <v>417</v>
      </c>
      <c r="B30" s="42"/>
      <c r="C30" s="42"/>
      <c r="D30" s="42">
        <f t="shared" si="3"/>
        <v>0</v>
      </c>
      <c r="E30" s="42"/>
      <c r="F30" s="42"/>
      <c r="G30" s="42">
        <f t="shared" si="4"/>
        <v>0</v>
      </c>
      <c r="H30" s="42"/>
      <c r="I30" s="42"/>
      <c r="J30" s="42">
        <f t="shared" si="5"/>
        <v>0</v>
      </c>
      <c r="K30" s="42"/>
      <c r="L30" s="42"/>
      <c r="M30" s="42">
        <f t="shared" si="6"/>
        <v>0</v>
      </c>
    </row>
    <row r="31" spans="1:13" ht="24">
      <c r="A31" s="164" t="s">
        <v>418</v>
      </c>
      <c r="B31" s="42"/>
      <c r="C31" s="42"/>
      <c r="D31" s="42">
        <f t="shared" si="3"/>
        <v>0</v>
      </c>
      <c r="E31" s="42"/>
      <c r="F31" s="42"/>
      <c r="G31" s="42">
        <f t="shared" si="4"/>
        <v>0</v>
      </c>
      <c r="H31" s="42"/>
      <c r="I31" s="42"/>
      <c r="J31" s="42">
        <f t="shared" si="5"/>
        <v>0</v>
      </c>
      <c r="K31" s="42"/>
      <c r="L31" s="42"/>
      <c r="M31" s="42">
        <f t="shared" si="6"/>
        <v>0</v>
      </c>
    </row>
    <row r="32" spans="1:13" ht="12.75">
      <c r="A32" s="158" t="s">
        <v>419</v>
      </c>
      <c r="B32" s="42"/>
      <c r="C32" s="42"/>
      <c r="D32" s="42">
        <f t="shared" si="3"/>
        <v>0</v>
      </c>
      <c r="E32" s="42"/>
      <c r="F32" s="42"/>
      <c r="G32" s="42">
        <f t="shared" si="4"/>
        <v>0</v>
      </c>
      <c r="H32" s="42"/>
      <c r="I32" s="42"/>
      <c r="J32" s="42">
        <f t="shared" si="5"/>
        <v>0</v>
      </c>
      <c r="K32" s="42"/>
      <c r="L32" s="42"/>
      <c r="M32" s="42">
        <f t="shared" si="6"/>
        <v>0</v>
      </c>
    </row>
    <row r="33" spans="1:13" ht="12.75">
      <c r="A33" s="158" t="s">
        <v>420</v>
      </c>
      <c r="B33" s="42">
        <v>1446</v>
      </c>
      <c r="C33" s="42"/>
      <c r="D33" s="42">
        <f t="shared" si="3"/>
        <v>1446</v>
      </c>
      <c r="E33" s="42">
        <v>1895</v>
      </c>
      <c r="F33" s="42"/>
      <c r="G33" s="42">
        <f t="shared" si="4"/>
        <v>1895</v>
      </c>
      <c r="H33" s="42">
        <v>1176</v>
      </c>
      <c r="I33" s="42"/>
      <c r="J33" s="42">
        <f t="shared" si="5"/>
        <v>1176</v>
      </c>
      <c r="K33" s="42">
        <v>1608</v>
      </c>
      <c r="L33" s="42"/>
      <c r="M33" s="42">
        <f t="shared" si="6"/>
        <v>1608</v>
      </c>
    </row>
    <row r="34" spans="1:13" ht="12.75">
      <c r="A34" s="158" t="s">
        <v>421</v>
      </c>
      <c r="B34" s="42">
        <f aca="true" t="shared" si="7" ref="B34:M34">+B23-B25-B26-B27-B28-B30-B31-B32-B33-B29</f>
        <v>193391</v>
      </c>
      <c r="C34" s="42">
        <f t="shared" si="7"/>
        <v>7232</v>
      </c>
      <c r="D34" s="42">
        <f t="shared" si="7"/>
        <v>200623</v>
      </c>
      <c r="E34" s="42">
        <f t="shared" si="7"/>
        <v>199426</v>
      </c>
      <c r="F34" s="42">
        <f t="shared" si="7"/>
        <v>7973</v>
      </c>
      <c r="G34" s="42">
        <f t="shared" si="7"/>
        <v>207399</v>
      </c>
      <c r="H34" s="42">
        <f t="shared" si="7"/>
        <v>119857</v>
      </c>
      <c r="I34" s="42">
        <f t="shared" si="7"/>
        <v>3248</v>
      </c>
      <c r="J34" s="42">
        <f t="shared" si="7"/>
        <v>123105</v>
      </c>
      <c r="K34" s="42">
        <f t="shared" si="7"/>
        <v>175636</v>
      </c>
      <c r="L34" s="42">
        <f t="shared" si="7"/>
        <v>6115</v>
      </c>
      <c r="M34" s="42">
        <f t="shared" si="7"/>
        <v>181751</v>
      </c>
    </row>
    <row r="35" spans="1:13" ht="12.75">
      <c r="A35" s="826" t="s">
        <v>66</v>
      </c>
      <c r="B35" s="42">
        <v>87951</v>
      </c>
      <c r="C35" s="42"/>
      <c r="D35" s="42">
        <f>SUM(B35:C35)</f>
        <v>87951</v>
      </c>
      <c r="E35" s="42">
        <v>80952</v>
      </c>
      <c r="F35" s="42"/>
      <c r="G35" s="42">
        <f>SUM(E35:F35)</f>
        <v>80952</v>
      </c>
      <c r="H35" s="42">
        <v>41290</v>
      </c>
      <c r="I35" s="42"/>
      <c r="J35" s="42">
        <f>SUM(H35:I35)</f>
        <v>41290</v>
      </c>
      <c r="K35" s="42">
        <v>59050</v>
      </c>
      <c r="L35" s="42"/>
      <c r="M35" s="42">
        <f>SUM(K35:L35)</f>
        <v>59050</v>
      </c>
    </row>
    <row r="36" spans="1:13" ht="12.75">
      <c r="A36" s="803" t="s">
        <v>698</v>
      </c>
      <c r="B36" s="42"/>
      <c r="C36" s="42"/>
      <c r="D36" s="42">
        <f>SUM(B36:C36)</f>
        <v>0</v>
      </c>
      <c r="E36" s="42"/>
      <c r="F36" s="42"/>
      <c r="G36" s="42">
        <f>SUM(E36:F36)</f>
        <v>0</v>
      </c>
      <c r="H36" s="42"/>
      <c r="I36" s="42"/>
      <c r="J36" s="42">
        <f>SUM(H36:I36)</f>
        <v>0</v>
      </c>
      <c r="K36" s="42"/>
      <c r="L36" s="42"/>
      <c r="M36" s="42">
        <f>SUM(K36:L36)</f>
        <v>0</v>
      </c>
    </row>
    <row r="37" spans="1:13" s="825" customFormat="1" ht="12.75">
      <c r="A37" s="162" t="s">
        <v>396</v>
      </c>
      <c r="B37" s="37">
        <f aca="true" t="shared" si="8" ref="B37:M37">SUM(B25:B34)</f>
        <v>210838</v>
      </c>
      <c r="C37" s="37">
        <f t="shared" si="8"/>
        <v>7232</v>
      </c>
      <c r="D37" s="37">
        <f t="shared" si="8"/>
        <v>218070</v>
      </c>
      <c r="E37" s="37">
        <f t="shared" si="8"/>
        <v>212570</v>
      </c>
      <c r="F37" s="37">
        <f t="shared" si="8"/>
        <v>8073</v>
      </c>
      <c r="G37" s="37">
        <f t="shared" si="8"/>
        <v>220643</v>
      </c>
      <c r="H37" s="37">
        <f t="shared" si="8"/>
        <v>126657</v>
      </c>
      <c r="I37" s="37">
        <f t="shared" si="8"/>
        <v>3248</v>
      </c>
      <c r="J37" s="37">
        <f t="shared" si="8"/>
        <v>129905</v>
      </c>
      <c r="K37" s="37">
        <f t="shared" si="8"/>
        <v>182356</v>
      </c>
      <c r="L37" s="37">
        <f t="shared" si="8"/>
        <v>6115</v>
      </c>
      <c r="M37" s="37">
        <f t="shared" si="8"/>
        <v>188471</v>
      </c>
    </row>
    <row r="39" spans="2:8" ht="12.75">
      <c r="B39" s="827"/>
      <c r="E39" s="827"/>
      <c r="H39" s="827"/>
    </row>
  </sheetData>
  <mergeCells count="2">
    <mergeCell ref="A2:M2"/>
    <mergeCell ref="L3:M3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&amp;C&amp;"Times New Roman,Normál"7&amp;R&amp;"Times New Roman,Normál"6/a.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B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16" sqref="A16"/>
    </sheetView>
  </sheetViews>
  <sheetFormatPr defaultColWidth="9.140625" defaultRowHeight="12.75"/>
  <cols>
    <col min="1" max="1" width="28.8515625" style="168" customWidth="1"/>
    <col min="2" max="2" width="10.421875" style="168" customWidth="1"/>
    <col min="3" max="3" width="7.8515625" style="168" customWidth="1"/>
    <col min="4" max="4" width="9.421875" style="168" bestFit="1" customWidth="1"/>
    <col min="5" max="5" width="10.140625" style="168" customWidth="1"/>
    <col min="6" max="6" width="7.421875" style="168" customWidth="1"/>
    <col min="7" max="7" width="9.421875" style="168" bestFit="1" customWidth="1"/>
    <col min="8" max="8" width="10.28125" style="168" customWidth="1"/>
    <col min="9" max="9" width="7.7109375" style="168" customWidth="1"/>
    <col min="10" max="10" width="9.421875" style="168" bestFit="1" customWidth="1"/>
    <col min="11" max="11" width="10.140625" style="808" customWidth="1"/>
    <col min="12" max="12" width="7.421875" style="808" customWidth="1"/>
    <col min="13" max="16384" width="9.140625" style="808" customWidth="1"/>
  </cols>
  <sheetData>
    <row r="1" ht="9.75" customHeight="1"/>
    <row r="2" spans="1:13" ht="18.75">
      <c r="A2" s="884" t="s">
        <v>659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</row>
    <row r="3" spans="1:13" ht="13.5" customHeight="1">
      <c r="A3" s="168" t="s">
        <v>699</v>
      </c>
      <c r="I3" s="828"/>
      <c r="J3" s="828"/>
      <c r="K3" s="883" t="s">
        <v>377</v>
      </c>
      <c r="L3" s="883"/>
      <c r="M3" s="883"/>
    </row>
    <row r="4" spans="1:13" ht="12.75">
      <c r="A4" s="811" t="s">
        <v>402</v>
      </c>
      <c r="B4" s="812">
        <v>29</v>
      </c>
      <c r="C4" s="813"/>
      <c r="D4" s="814"/>
      <c r="E4" s="812">
        <v>30</v>
      </c>
      <c r="F4" s="813"/>
      <c r="G4" s="814"/>
      <c r="H4" s="812">
        <v>31</v>
      </c>
      <c r="I4" s="813"/>
      <c r="J4" s="814"/>
      <c r="K4" s="880">
        <v>32</v>
      </c>
      <c r="L4" s="886"/>
      <c r="M4" s="887"/>
    </row>
    <row r="5" spans="1:13" ht="12.75">
      <c r="A5" s="811" t="s">
        <v>170</v>
      </c>
      <c r="B5" s="811"/>
      <c r="C5" s="816"/>
      <c r="D5" s="817"/>
      <c r="E5" s="818"/>
      <c r="F5" s="816"/>
      <c r="G5" s="817"/>
      <c r="H5" s="818"/>
      <c r="I5" s="816"/>
      <c r="J5" s="817"/>
      <c r="K5" s="811"/>
      <c r="L5" s="815"/>
      <c r="M5" s="801"/>
    </row>
    <row r="6" spans="1:13" ht="12.75" customHeight="1">
      <c r="A6" s="811" t="s">
        <v>403</v>
      </c>
      <c r="B6" s="812" t="s">
        <v>700</v>
      </c>
      <c r="C6" s="813"/>
      <c r="D6" s="814"/>
      <c r="E6" s="888" t="s">
        <v>701</v>
      </c>
      <c r="F6" s="889"/>
      <c r="G6" s="890"/>
      <c r="H6" s="891" t="s">
        <v>702</v>
      </c>
      <c r="I6" s="892"/>
      <c r="J6" s="893"/>
      <c r="K6" s="891" t="s">
        <v>703</v>
      </c>
      <c r="L6" s="892"/>
      <c r="M6" s="893"/>
    </row>
    <row r="7" spans="1:13" ht="12.75">
      <c r="A7" s="811" t="s">
        <v>404</v>
      </c>
      <c r="B7" s="812">
        <v>801214</v>
      </c>
      <c r="C7" s="813"/>
      <c r="D7" s="814"/>
      <c r="E7" s="894">
        <v>801214</v>
      </c>
      <c r="F7" s="895"/>
      <c r="G7" s="895"/>
      <c r="H7" s="896">
        <v>801214</v>
      </c>
      <c r="I7" s="896"/>
      <c r="J7" s="896"/>
      <c r="K7" s="896">
        <v>801214</v>
      </c>
      <c r="L7" s="896"/>
      <c r="M7" s="896"/>
    </row>
    <row r="8" spans="1:13" ht="12.75">
      <c r="A8" s="820" t="s">
        <v>405</v>
      </c>
      <c r="B8" s="880" t="s">
        <v>406</v>
      </c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7"/>
    </row>
    <row r="9" spans="1:13" s="25" customFormat="1" ht="33.75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1.25" customHeight="1">
      <c r="A10" s="118" t="s">
        <v>208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10</v>
      </c>
      <c r="K10" s="824">
        <v>11</v>
      </c>
      <c r="L10" s="100">
        <v>12</v>
      </c>
      <c r="M10" s="100">
        <v>13</v>
      </c>
    </row>
    <row r="11" spans="1:13" ht="12.75">
      <c r="A11" s="158" t="s">
        <v>408</v>
      </c>
      <c r="B11" s="101">
        <v>55</v>
      </c>
      <c r="C11" s="101"/>
      <c r="D11" s="101">
        <f>SUM(B11:C11)</f>
        <v>55</v>
      </c>
      <c r="E11" s="101">
        <v>47.5</v>
      </c>
      <c r="F11" s="101"/>
      <c r="G11" s="101">
        <f>SUM(E11:F11)</f>
        <v>47.5</v>
      </c>
      <c r="H11" s="101">
        <v>104.5</v>
      </c>
      <c r="I11" s="101"/>
      <c r="J11" s="101">
        <f>SUM(H11:I11)</f>
        <v>104.5</v>
      </c>
      <c r="K11" s="101">
        <v>41.5</v>
      </c>
      <c r="L11" s="101"/>
      <c r="M11" s="101">
        <f>SUM(K11:L11)</f>
        <v>41.5</v>
      </c>
    </row>
    <row r="12" spans="1:13" s="825" customFormat="1" ht="12.75">
      <c r="A12" s="160" t="s">
        <v>409</v>
      </c>
      <c r="B12" s="37"/>
      <c r="C12" s="37"/>
      <c r="D12" s="101"/>
      <c r="E12" s="37"/>
      <c r="F12" s="37"/>
      <c r="G12" s="101"/>
      <c r="H12" s="37"/>
      <c r="I12" s="37"/>
      <c r="J12" s="101"/>
      <c r="K12" s="37"/>
      <c r="L12" s="37"/>
      <c r="M12" s="101"/>
    </row>
    <row r="13" spans="1:13" ht="12.75">
      <c r="A13" s="158" t="s">
        <v>410</v>
      </c>
      <c r="B13" s="42">
        <v>127545</v>
      </c>
      <c r="C13" s="42">
        <f>360+3889</f>
        <v>4249</v>
      </c>
      <c r="D13" s="42">
        <f>SUM(B13:C13)</f>
        <v>131794</v>
      </c>
      <c r="E13" s="42">
        <v>107626</v>
      </c>
      <c r="F13" s="42">
        <f>310+3124</f>
        <v>3434</v>
      </c>
      <c r="G13" s="42">
        <f>SUM(E13:F13)</f>
        <v>111060</v>
      </c>
      <c r="H13" s="42">
        <v>238692</v>
      </c>
      <c r="I13" s="42">
        <f>309+7581</f>
        <v>7890</v>
      </c>
      <c r="J13" s="42">
        <f>SUM(H13:I13)</f>
        <v>246582</v>
      </c>
      <c r="K13" s="42">
        <v>97312</v>
      </c>
      <c r="L13" s="42">
        <f>300+2892</f>
        <v>3192</v>
      </c>
      <c r="M13" s="42">
        <f>SUM(K13:L13)</f>
        <v>100504</v>
      </c>
    </row>
    <row r="14" spans="1:13" ht="12.75">
      <c r="A14" s="158" t="s">
        <v>374</v>
      </c>
      <c r="B14" s="42">
        <v>41083</v>
      </c>
      <c r="C14" s="42">
        <f>107+1127+10+116</f>
        <v>1360</v>
      </c>
      <c r="D14" s="42">
        <f>SUM(B14:C14)</f>
        <v>42443</v>
      </c>
      <c r="E14" s="42">
        <v>34451</v>
      </c>
      <c r="F14" s="42">
        <f>90+905+9+94</f>
        <v>1098</v>
      </c>
      <c r="G14" s="42">
        <f>SUM(E14:F14)</f>
        <v>35549</v>
      </c>
      <c r="H14" s="42">
        <v>76637</v>
      </c>
      <c r="I14" s="42">
        <f>89+2198+9+228</f>
        <v>2524</v>
      </c>
      <c r="J14" s="42">
        <f>SUM(H14:I14)</f>
        <v>79161</v>
      </c>
      <c r="K14" s="42">
        <v>31301</v>
      </c>
      <c r="L14" s="42">
        <f>87+838+9+87</f>
        <v>1021</v>
      </c>
      <c r="M14" s="42">
        <f>SUM(K14:L14)</f>
        <v>32322</v>
      </c>
    </row>
    <row r="15" spans="1:13" ht="12.75">
      <c r="A15" s="158" t="s">
        <v>375</v>
      </c>
      <c r="B15" s="42">
        <v>55481</v>
      </c>
      <c r="C15" s="42">
        <f>-148+2094+50+85</f>
        <v>2081</v>
      </c>
      <c r="D15" s="42">
        <f>SUM(B15:C15)</f>
        <v>57562</v>
      </c>
      <c r="E15" s="42">
        <v>50634</v>
      </c>
      <c r="F15" s="42">
        <f>-43+100+1723+156+71</f>
        <v>2007</v>
      </c>
      <c r="G15" s="42">
        <f>SUM(E15:F15)</f>
        <v>52641</v>
      </c>
      <c r="H15" s="42">
        <v>124099</v>
      </c>
      <c r="I15" s="42">
        <f>-298+4531+125+166</f>
        <v>4524</v>
      </c>
      <c r="J15" s="42">
        <f>SUM(H15:I15)</f>
        <v>128623</v>
      </c>
      <c r="K15" s="42">
        <v>36048</v>
      </c>
      <c r="L15" s="42">
        <f>30-277+83+1187+125+52</f>
        <v>1200</v>
      </c>
      <c r="M15" s="42">
        <f>SUM(K15:L15)</f>
        <v>37248</v>
      </c>
    </row>
    <row r="16" spans="1:13" ht="22.5">
      <c r="A16" s="829" t="s">
        <v>281</v>
      </c>
      <c r="B16" s="42"/>
      <c r="C16" s="42"/>
      <c r="D16" s="42"/>
      <c r="E16" s="42"/>
      <c r="F16" s="42"/>
      <c r="G16" s="42"/>
      <c r="H16" s="42"/>
      <c r="I16" s="42"/>
      <c r="J16" s="42">
        <f>SUM(H16:I16)</f>
        <v>0</v>
      </c>
      <c r="K16" s="42"/>
      <c r="L16" s="42"/>
      <c r="M16" s="42"/>
    </row>
    <row r="17" spans="1:13" ht="12.75">
      <c r="A17" s="158" t="s">
        <v>665</v>
      </c>
      <c r="B17" s="42"/>
      <c r="C17" s="42"/>
      <c r="D17" s="42"/>
      <c r="E17" s="42"/>
      <c r="F17" s="42"/>
      <c r="G17" s="42"/>
      <c r="H17" s="42">
        <v>225</v>
      </c>
      <c r="I17" s="42"/>
      <c r="J17" s="42">
        <f>SUM(H17:I17)</f>
        <v>225</v>
      </c>
      <c r="K17" s="42"/>
      <c r="L17" s="42"/>
      <c r="M17" s="42"/>
    </row>
    <row r="18" spans="1:13" s="825" customFormat="1" ht="12.75">
      <c r="A18" s="160" t="s">
        <v>376</v>
      </c>
      <c r="B18" s="37">
        <f aca="true" t="shared" si="0" ref="B18:M18">SUM(B13:B17)</f>
        <v>224109</v>
      </c>
      <c r="C18" s="37">
        <f t="shared" si="0"/>
        <v>7690</v>
      </c>
      <c r="D18" s="37">
        <f t="shared" si="0"/>
        <v>231799</v>
      </c>
      <c r="E18" s="37">
        <f t="shared" si="0"/>
        <v>192711</v>
      </c>
      <c r="F18" s="37">
        <f t="shared" si="0"/>
        <v>6539</v>
      </c>
      <c r="G18" s="37">
        <f t="shared" si="0"/>
        <v>199250</v>
      </c>
      <c r="H18" s="37">
        <f t="shared" si="0"/>
        <v>439653</v>
      </c>
      <c r="I18" s="37">
        <f t="shared" si="0"/>
        <v>14938</v>
      </c>
      <c r="J18" s="37">
        <f t="shared" si="0"/>
        <v>454591</v>
      </c>
      <c r="K18" s="37">
        <f t="shared" si="0"/>
        <v>164661</v>
      </c>
      <c r="L18" s="37">
        <f t="shared" si="0"/>
        <v>5413</v>
      </c>
      <c r="M18" s="37">
        <f t="shared" si="0"/>
        <v>170074</v>
      </c>
    </row>
    <row r="19" spans="1:13" ht="12.75">
      <c r="A19" s="158" t="s">
        <v>423</v>
      </c>
      <c r="B19" s="42">
        <v>73264</v>
      </c>
      <c r="C19" s="42"/>
      <c r="D19" s="42">
        <f>SUM(B19:C19)</f>
        <v>73264</v>
      </c>
      <c r="E19" s="42">
        <v>31470</v>
      </c>
      <c r="F19" s="42">
        <f>23+49600</f>
        <v>49623</v>
      </c>
      <c r="G19" s="42">
        <f>SUM(E19:F19)</f>
        <v>81093</v>
      </c>
      <c r="H19" s="42">
        <v>30940</v>
      </c>
      <c r="I19" s="42"/>
      <c r="J19" s="42">
        <f>SUM(H19:I19)</f>
        <v>30940</v>
      </c>
      <c r="K19" s="42">
        <v>1575</v>
      </c>
      <c r="L19" s="42">
        <f>54000+1604</f>
        <v>55604</v>
      </c>
      <c r="M19" s="42">
        <f>SUM(K19:L19)</f>
        <v>57179</v>
      </c>
    </row>
    <row r="20" spans="1:13" ht="12.75">
      <c r="A20" s="158" t="s">
        <v>424</v>
      </c>
      <c r="B20" s="42">
        <v>523</v>
      </c>
      <c r="C20" s="42">
        <v>148</v>
      </c>
      <c r="D20" s="42">
        <f>SUM(B20:C20)</f>
        <v>671</v>
      </c>
      <c r="E20" s="42">
        <v>57</v>
      </c>
      <c r="F20" s="42">
        <v>43</v>
      </c>
      <c r="G20" s="42">
        <f>SUM(E20:F20)</f>
        <v>100</v>
      </c>
      <c r="H20" s="42">
        <v>198</v>
      </c>
      <c r="I20" s="42">
        <v>298</v>
      </c>
      <c r="J20" s="42">
        <f>SUM(H20:I20)</f>
        <v>496</v>
      </c>
      <c r="K20" s="42">
        <v>365</v>
      </c>
      <c r="L20" s="42">
        <v>277</v>
      </c>
      <c r="M20" s="42">
        <f>SUM(K20:L20)</f>
        <v>642</v>
      </c>
    </row>
    <row r="21" spans="1:13" ht="24">
      <c r="A21" s="47" t="s">
        <v>422</v>
      </c>
      <c r="B21" s="42"/>
      <c r="C21" s="42"/>
      <c r="D21" s="42">
        <f>SUM(B21:C21)</f>
        <v>0</v>
      </c>
      <c r="E21" s="42"/>
      <c r="F21" s="42"/>
      <c r="G21" s="42">
        <f>SUM(E21:F21)</f>
        <v>0</v>
      </c>
      <c r="H21" s="42"/>
      <c r="I21" s="42"/>
      <c r="J21" s="42">
        <f>SUM(H21:I21)</f>
        <v>0</v>
      </c>
      <c r="K21" s="42"/>
      <c r="L21" s="42"/>
      <c r="M21" s="42">
        <f>SUM(K21:L21)</f>
        <v>0</v>
      </c>
    </row>
    <row r="22" spans="1:13" s="825" customFormat="1" ht="12.75">
      <c r="A22" s="160" t="s">
        <v>83</v>
      </c>
      <c r="B22" s="37">
        <f aca="true" t="shared" si="1" ref="B22:M22">SUM(B19:B21)</f>
        <v>73787</v>
      </c>
      <c r="C22" s="37">
        <f t="shared" si="1"/>
        <v>148</v>
      </c>
      <c r="D22" s="37">
        <f t="shared" si="1"/>
        <v>73935</v>
      </c>
      <c r="E22" s="37">
        <f t="shared" si="1"/>
        <v>31527</v>
      </c>
      <c r="F22" s="37">
        <f t="shared" si="1"/>
        <v>49666</v>
      </c>
      <c r="G22" s="37">
        <f t="shared" si="1"/>
        <v>81193</v>
      </c>
      <c r="H22" s="37">
        <f t="shared" si="1"/>
        <v>31138</v>
      </c>
      <c r="I22" s="37">
        <f t="shared" si="1"/>
        <v>298</v>
      </c>
      <c r="J22" s="37">
        <f t="shared" si="1"/>
        <v>31436</v>
      </c>
      <c r="K22" s="37">
        <f t="shared" si="1"/>
        <v>1940</v>
      </c>
      <c r="L22" s="37">
        <f t="shared" si="1"/>
        <v>55881</v>
      </c>
      <c r="M22" s="37">
        <f t="shared" si="1"/>
        <v>57821</v>
      </c>
    </row>
    <row r="23" spans="1:13" s="825" customFormat="1" ht="12.75">
      <c r="A23" s="162" t="s">
        <v>84</v>
      </c>
      <c r="B23" s="37">
        <f aca="true" t="shared" si="2" ref="B23:M23">SUM(B18+B22)</f>
        <v>297896</v>
      </c>
      <c r="C23" s="37">
        <f t="shared" si="2"/>
        <v>7838</v>
      </c>
      <c r="D23" s="37">
        <f t="shared" si="2"/>
        <v>305734</v>
      </c>
      <c r="E23" s="37">
        <f t="shared" si="2"/>
        <v>224238</v>
      </c>
      <c r="F23" s="37">
        <f t="shared" si="2"/>
        <v>56205</v>
      </c>
      <c r="G23" s="37">
        <f t="shared" si="2"/>
        <v>280443</v>
      </c>
      <c r="H23" s="37">
        <f t="shared" si="2"/>
        <v>470791</v>
      </c>
      <c r="I23" s="37">
        <f t="shared" si="2"/>
        <v>15236</v>
      </c>
      <c r="J23" s="37">
        <f t="shared" si="2"/>
        <v>486027</v>
      </c>
      <c r="K23" s="37">
        <f t="shared" si="2"/>
        <v>166601</v>
      </c>
      <c r="L23" s="37">
        <f t="shared" si="2"/>
        <v>61294</v>
      </c>
      <c r="M23" s="37">
        <f t="shared" si="2"/>
        <v>227895</v>
      </c>
    </row>
    <row r="24" spans="1:13" s="825" customFormat="1" ht="12.75">
      <c r="A24" s="160" t="s">
        <v>85</v>
      </c>
      <c r="B24" s="37"/>
      <c r="C24" s="37"/>
      <c r="D24" s="42"/>
      <c r="E24" s="37"/>
      <c r="F24" s="37"/>
      <c r="G24" s="42"/>
      <c r="H24" s="37"/>
      <c r="I24" s="37"/>
      <c r="J24" s="42"/>
      <c r="K24" s="37"/>
      <c r="L24" s="37"/>
      <c r="M24" s="42"/>
    </row>
    <row r="25" spans="1:13" ht="24">
      <c r="A25" s="47" t="s">
        <v>282</v>
      </c>
      <c r="B25" s="42"/>
      <c r="C25" s="42"/>
      <c r="D25" s="42">
        <f aca="true" t="shared" si="3" ref="D25:D30">SUM(B25:C25)</f>
        <v>0</v>
      </c>
      <c r="E25" s="42"/>
      <c r="F25" s="42"/>
      <c r="G25" s="42">
        <f aca="true" t="shared" si="4" ref="G25:G30">SUM(E25:F25)</f>
        <v>0</v>
      </c>
      <c r="H25" s="42"/>
      <c r="I25" s="42"/>
      <c r="J25" s="42">
        <f aca="true" t="shared" si="5" ref="J25:J33">SUM(H25:I25)</f>
        <v>0</v>
      </c>
      <c r="K25" s="42"/>
      <c r="L25" s="42"/>
      <c r="M25" s="42">
        <f aca="true" t="shared" si="6" ref="M25:M33">SUM(K25:L25)</f>
        <v>0</v>
      </c>
    </row>
    <row r="26" spans="1:13" ht="24">
      <c r="A26" s="47" t="s">
        <v>289</v>
      </c>
      <c r="B26" s="42">
        <v>11084</v>
      </c>
      <c r="C26" s="42"/>
      <c r="D26" s="42">
        <f t="shared" si="3"/>
        <v>11084</v>
      </c>
      <c r="E26" s="42">
        <v>11110</v>
      </c>
      <c r="F26" s="42"/>
      <c r="G26" s="42">
        <f t="shared" si="4"/>
        <v>11110</v>
      </c>
      <c r="H26" s="42">
        <f>23605+100</f>
        <v>23705</v>
      </c>
      <c r="I26" s="42"/>
      <c r="J26" s="42">
        <f t="shared" si="5"/>
        <v>23705</v>
      </c>
      <c r="K26" s="42">
        <v>6792</v>
      </c>
      <c r="L26" s="42"/>
      <c r="M26" s="42">
        <f t="shared" si="6"/>
        <v>6792</v>
      </c>
    </row>
    <row r="27" spans="1:13" ht="12.75">
      <c r="A27" s="158" t="s">
        <v>290</v>
      </c>
      <c r="B27" s="42"/>
      <c r="C27" s="42"/>
      <c r="D27" s="42">
        <f t="shared" si="3"/>
        <v>0</v>
      </c>
      <c r="E27" s="42"/>
      <c r="F27" s="42"/>
      <c r="G27" s="42">
        <f t="shared" si="4"/>
        <v>0</v>
      </c>
      <c r="H27" s="42">
        <v>268</v>
      </c>
      <c r="I27" s="42"/>
      <c r="J27" s="42">
        <f t="shared" si="5"/>
        <v>268</v>
      </c>
      <c r="K27" s="42"/>
      <c r="L27" s="42"/>
      <c r="M27" s="42">
        <f t="shared" si="6"/>
        <v>0</v>
      </c>
    </row>
    <row r="28" spans="1:13" ht="12.75">
      <c r="A28" s="158" t="s">
        <v>666</v>
      </c>
      <c r="B28" s="42">
        <v>2028</v>
      </c>
      <c r="C28" s="42"/>
      <c r="D28" s="42">
        <f t="shared" si="3"/>
        <v>2028</v>
      </c>
      <c r="E28" s="42">
        <v>1850</v>
      </c>
      <c r="F28" s="42"/>
      <c r="G28" s="42">
        <f t="shared" si="4"/>
        <v>1850</v>
      </c>
      <c r="H28" s="42">
        <v>4234</v>
      </c>
      <c r="I28" s="42"/>
      <c r="J28" s="42">
        <f t="shared" si="5"/>
        <v>4234</v>
      </c>
      <c r="K28" s="42">
        <v>1255</v>
      </c>
      <c r="L28" s="42"/>
      <c r="M28" s="42">
        <f t="shared" si="6"/>
        <v>1255</v>
      </c>
    </row>
    <row r="29" spans="1:13" ht="12.75">
      <c r="A29" s="158" t="s">
        <v>667</v>
      </c>
      <c r="B29" s="42"/>
      <c r="C29" s="42"/>
      <c r="D29" s="42">
        <f t="shared" si="3"/>
        <v>0</v>
      </c>
      <c r="E29" s="42"/>
      <c r="F29" s="42"/>
      <c r="G29" s="42">
        <f t="shared" si="4"/>
        <v>0</v>
      </c>
      <c r="H29" s="42"/>
      <c r="I29" s="42"/>
      <c r="J29" s="42">
        <f t="shared" si="5"/>
        <v>0</v>
      </c>
      <c r="K29" s="42"/>
      <c r="L29" s="42"/>
      <c r="M29" s="42">
        <f t="shared" si="6"/>
        <v>0</v>
      </c>
    </row>
    <row r="30" spans="1:13" ht="22.5">
      <c r="A30" s="829" t="s">
        <v>417</v>
      </c>
      <c r="B30" s="42">
        <v>362</v>
      </c>
      <c r="C30" s="42"/>
      <c r="D30" s="42">
        <f t="shared" si="3"/>
        <v>362</v>
      </c>
      <c r="E30" s="42">
        <v>14</v>
      </c>
      <c r="F30" s="42"/>
      <c r="G30" s="42">
        <f t="shared" si="4"/>
        <v>14</v>
      </c>
      <c r="H30" s="42">
        <v>231</v>
      </c>
      <c r="I30" s="42"/>
      <c r="J30" s="42">
        <f t="shared" si="5"/>
        <v>231</v>
      </c>
      <c r="K30" s="42">
        <v>240</v>
      </c>
      <c r="L30" s="42"/>
      <c r="M30" s="42">
        <f t="shared" si="6"/>
        <v>240</v>
      </c>
    </row>
    <row r="31" spans="1:13" ht="22.5">
      <c r="A31" s="830" t="s">
        <v>418</v>
      </c>
      <c r="B31" s="42"/>
      <c r="C31" s="42"/>
      <c r="D31" s="42">
        <v>0</v>
      </c>
      <c r="E31" s="42"/>
      <c r="F31" s="42"/>
      <c r="G31" s="42">
        <v>0</v>
      </c>
      <c r="H31" s="42"/>
      <c r="I31" s="42"/>
      <c r="J31" s="42">
        <f t="shared" si="5"/>
        <v>0</v>
      </c>
      <c r="K31" s="42"/>
      <c r="L31" s="42"/>
      <c r="M31" s="42">
        <f t="shared" si="6"/>
        <v>0</v>
      </c>
    </row>
    <row r="32" spans="1:13" ht="12.75">
      <c r="A32" s="158" t="s">
        <v>419</v>
      </c>
      <c r="B32" s="42"/>
      <c r="C32" s="42"/>
      <c r="D32" s="42">
        <f>SUM(B32:C32)</f>
        <v>0</v>
      </c>
      <c r="E32" s="42"/>
      <c r="F32" s="42"/>
      <c r="G32" s="42">
        <f>SUM(E32:F32)</f>
        <v>0</v>
      </c>
      <c r="H32" s="42"/>
      <c r="I32" s="42"/>
      <c r="J32" s="42">
        <f t="shared" si="5"/>
        <v>0</v>
      </c>
      <c r="K32" s="42"/>
      <c r="L32" s="42"/>
      <c r="M32" s="42">
        <f t="shared" si="6"/>
        <v>0</v>
      </c>
    </row>
    <row r="33" spans="1:13" ht="12.75">
      <c r="A33" s="158" t="s">
        <v>420</v>
      </c>
      <c r="B33" s="42">
        <v>3399</v>
      </c>
      <c r="C33" s="42"/>
      <c r="D33" s="42">
        <f>SUM(B33:C33)</f>
        <v>3399</v>
      </c>
      <c r="E33" s="42">
        <v>2007</v>
      </c>
      <c r="F33" s="42"/>
      <c r="G33" s="42">
        <f>SUM(E33:F33)</f>
        <v>2007</v>
      </c>
      <c r="H33" s="42">
        <v>1711</v>
      </c>
      <c r="I33" s="42"/>
      <c r="J33" s="42">
        <f t="shared" si="5"/>
        <v>1711</v>
      </c>
      <c r="K33" s="42">
        <v>2535</v>
      </c>
      <c r="L33" s="42"/>
      <c r="M33" s="42">
        <f t="shared" si="6"/>
        <v>2535</v>
      </c>
    </row>
    <row r="34" spans="1:13" ht="12.75">
      <c r="A34" s="158" t="s">
        <v>421</v>
      </c>
      <c r="B34" s="42">
        <f aca="true" t="shared" si="7" ref="B34:M34">+B23-B25-B26-B27-B28-B30-B31-B32-B33-B29</f>
        <v>281023</v>
      </c>
      <c r="C34" s="42">
        <f t="shared" si="7"/>
        <v>7838</v>
      </c>
      <c r="D34" s="42">
        <f t="shared" si="7"/>
        <v>288861</v>
      </c>
      <c r="E34" s="42">
        <f t="shared" si="7"/>
        <v>209257</v>
      </c>
      <c r="F34" s="42">
        <f t="shared" si="7"/>
        <v>56205</v>
      </c>
      <c r="G34" s="42">
        <f t="shared" si="7"/>
        <v>265462</v>
      </c>
      <c r="H34" s="42">
        <f t="shared" si="7"/>
        <v>440642</v>
      </c>
      <c r="I34" s="42">
        <f t="shared" si="7"/>
        <v>15236</v>
      </c>
      <c r="J34" s="42">
        <f t="shared" si="7"/>
        <v>455878</v>
      </c>
      <c r="K34" s="42">
        <f t="shared" si="7"/>
        <v>155779</v>
      </c>
      <c r="L34" s="42">
        <f t="shared" si="7"/>
        <v>61294</v>
      </c>
      <c r="M34" s="42">
        <f t="shared" si="7"/>
        <v>217073</v>
      </c>
    </row>
    <row r="35" spans="1:13" ht="12.75">
      <c r="A35" s="826" t="s">
        <v>66</v>
      </c>
      <c r="B35" s="42">
        <v>97047</v>
      </c>
      <c r="C35" s="42"/>
      <c r="D35" s="42">
        <f>SUM(B35:C35)</f>
        <v>97047</v>
      </c>
      <c r="E35" s="42">
        <v>75405</v>
      </c>
      <c r="F35" s="42"/>
      <c r="G35" s="42">
        <f>SUM(E35:F35)</f>
        <v>75405</v>
      </c>
      <c r="H35" s="42">
        <v>181663</v>
      </c>
      <c r="I35" s="42"/>
      <c r="J35" s="42">
        <f>SUM(H35:I35)</f>
        <v>181663</v>
      </c>
      <c r="K35" s="42">
        <v>55364</v>
      </c>
      <c r="L35" s="42"/>
      <c r="M35" s="42">
        <f>SUM(K35:L35)</f>
        <v>55364</v>
      </c>
    </row>
    <row r="36" spans="1:13" ht="12.75">
      <c r="A36" s="803" t="s">
        <v>704</v>
      </c>
      <c r="B36" s="42"/>
      <c r="C36" s="42"/>
      <c r="D36" s="42">
        <f>SUM(B36:C36)</f>
        <v>0</v>
      </c>
      <c r="E36" s="42"/>
      <c r="F36" s="42"/>
      <c r="G36" s="42">
        <f>SUM(E36:F36)</f>
        <v>0</v>
      </c>
      <c r="H36" s="42"/>
      <c r="I36" s="42"/>
      <c r="J36" s="42">
        <f>SUM(H36:I36)</f>
        <v>0</v>
      </c>
      <c r="K36" s="42"/>
      <c r="L36" s="42"/>
      <c r="M36" s="42">
        <f>SUM(K36:L36)</f>
        <v>0</v>
      </c>
    </row>
    <row r="37" spans="1:13" s="825" customFormat="1" ht="12.75">
      <c r="A37" s="162" t="s">
        <v>396</v>
      </c>
      <c r="B37" s="37">
        <f aca="true" t="shared" si="8" ref="B37:M37">SUM(B25:B34)</f>
        <v>297896</v>
      </c>
      <c r="C37" s="37">
        <f t="shared" si="8"/>
        <v>7838</v>
      </c>
      <c r="D37" s="37">
        <f t="shared" si="8"/>
        <v>305734</v>
      </c>
      <c r="E37" s="37">
        <f t="shared" si="8"/>
        <v>224238</v>
      </c>
      <c r="F37" s="37">
        <f t="shared" si="8"/>
        <v>56205</v>
      </c>
      <c r="G37" s="37">
        <f t="shared" si="8"/>
        <v>280443</v>
      </c>
      <c r="H37" s="37">
        <f t="shared" si="8"/>
        <v>470791</v>
      </c>
      <c r="I37" s="37">
        <f t="shared" si="8"/>
        <v>15236</v>
      </c>
      <c r="J37" s="37">
        <f t="shared" si="8"/>
        <v>486027</v>
      </c>
      <c r="K37" s="37">
        <f t="shared" si="8"/>
        <v>166601</v>
      </c>
      <c r="L37" s="37">
        <f t="shared" si="8"/>
        <v>61294</v>
      </c>
      <c r="M37" s="37">
        <f t="shared" si="8"/>
        <v>227895</v>
      </c>
    </row>
    <row r="39" spans="2:8" ht="12.75">
      <c r="B39" s="827"/>
      <c r="E39" s="827"/>
      <c r="H39" s="827"/>
    </row>
  </sheetData>
  <mergeCells count="10">
    <mergeCell ref="A2:M2"/>
    <mergeCell ref="K4:M4"/>
    <mergeCell ref="K6:M6"/>
    <mergeCell ref="K7:M7"/>
    <mergeCell ref="K3:M3"/>
    <mergeCell ref="B8:M8"/>
    <mergeCell ref="E6:G6"/>
    <mergeCell ref="H6:J6"/>
    <mergeCell ref="E7:G7"/>
    <mergeCell ref="H7:J7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&amp;C&amp;"Times New Roman,Normál"8&amp;R&amp;"Times New Roman,Normál"6/a. számú melléklet&amp;"MS Sans Serif,Normál"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B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9" sqref="B9:M9"/>
    </sheetView>
  </sheetViews>
  <sheetFormatPr defaultColWidth="9.140625" defaultRowHeight="12.75"/>
  <cols>
    <col min="1" max="1" width="28.8515625" style="168" customWidth="1"/>
    <col min="2" max="2" width="10.140625" style="168" customWidth="1"/>
    <col min="3" max="3" width="7.57421875" style="168" customWidth="1"/>
    <col min="4" max="4" width="9.421875" style="168" customWidth="1"/>
    <col min="5" max="5" width="10.140625" style="168" customWidth="1"/>
    <col min="6" max="6" width="7.57421875" style="168" customWidth="1"/>
    <col min="7" max="7" width="9.421875" style="168" customWidth="1"/>
    <col min="8" max="8" width="10.140625" style="168" customWidth="1"/>
    <col min="9" max="9" width="7.7109375" style="168" customWidth="1"/>
    <col min="10" max="10" width="9.421875" style="168" customWidth="1"/>
    <col min="11" max="11" width="10.00390625" style="808" customWidth="1"/>
    <col min="12" max="12" width="7.7109375" style="808" customWidth="1"/>
    <col min="13" max="16384" width="9.140625" style="808" customWidth="1"/>
  </cols>
  <sheetData>
    <row r="1" ht="9" customHeight="1"/>
    <row r="2" spans="1:13" ht="18.75">
      <c r="A2" s="884" t="s">
        <v>705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</row>
    <row r="3" spans="1:13" ht="13.5" customHeight="1">
      <c r="A3" s="810"/>
      <c r="I3" s="828"/>
      <c r="J3" s="828"/>
      <c r="L3" s="883" t="s">
        <v>377</v>
      </c>
      <c r="M3" s="883"/>
    </row>
    <row r="4" spans="1:13" ht="12.75">
      <c r="A4" s="811" t="s">
        <v>402</v>
      </c>
      <c r="B4" s="888">
        <v>33</v>
      </c>
      <c r="C4" s="889"/>
      <c r="D4" s="890"/>
      <c r="E4" s="880">
        <v>34</v>
      </c>
      <c r="F4" s="886"/>
      <c r="G4" s="887"/>
      <c r="H4" s="880">
        <v>35</v>
      </c>
      <c r="I4" s="881"/>
      <c r="J4" s="882"/>
      <c r="K4" s="880">
        <v>36</v>
      </c>
      <c r="L4" s="881"/>
      <c r="M4" s="882"/>
    </row>
    <row r="5" spans="1:13" ht="12.75">
      <c r="A5" s="811" t="s">
        <v>170</v>
      </c>
      <c r="B5" s="801"/>
      <c r="C5" s="801"/>
      <c r="D5" s="801"/>
      <c r="E5" s="801"/>
      <c r="F5" s="801"/>
      <c r="G5" s="801"/>
      <c r="H5" s="801"/>
      <c r="I5" s="801"/>
      <c r="J5" s="801"/>
      <c r="K5" s="811"/>
      <c r="L5" s="811"/>
      <c r="M5" s="100"/>
    </row>
    <row r="6" spans="1:13" ht="12.75" customHeight="1">
      <c r="A6" s="811" t="s">
        <v>403</v>
      </c>
      <c r="B6" s="891" t="s">
        <v>706</v>
      </c>
      <c r="C6" s="892"/>
      <c r="D6" s="893"/>
      <c r="E6" s="832" t="s">
        <v>707</v>
      </c>
      <c r="F6" s="832"/>
      <c r="G6" s="832"/>
      <c r="H6" s="812" t="s">
        <v>708</v>
      </c>
      <c r="I6" s="813"/>
      <c r="J6" s="814"/>
      <c r="K6" s="812" t="s">
        <v>709</v>
      </c>
      <c r="L6" s="813"/>
      <c r="M6" s="814"/>
    </row>
    <row r="7" spans="1:13" ht="12.75">
      <c r="A7" s="811" t="s">
        <v>404</v>
      </c>
      <c r="B7" s="892">
        <v>801214</v>
      </c>
      <c r="C7" s="892"/>
      <c r="D7" s="893"/>
      <c r="E7" s="832">
        <v>801214</v>
      </c>
      <c r="F7" s="832"/>
      <c r="G7" s="832"/>
      <c r="H7" s="812">
        <v>801214</v>
      </c>
      <c r="I7" s="813"/>
      <c r="J7" s="814"/>
      <c r="K7" s="812">
        <v>802177</v>
      </c>
      <c r="L7" s="813"/>
      <c r="M7" s="814"/>
    </row>
    <row r="8" spans="1:13" ht="12.75">
      <c r="A8" s="820" t="s">
        <v>405</v>
      </c>
      <c r="B8" s="897" t="s">
        <v>406</v>
      </c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</row>
    <row r="9" spans="1:13" s="25" customFormat="1" ht="34.5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1.25" customHeight="1">
      <c r="A10" s="118" t="s">
        <v>208</v>
      </c>
      <c r="B10" s="118">
        <v>2</v>
      </c>
      <c r="C10" s="824">
        <v>3</v>
      </c>
      <c r="D10" s="100">
        <v>4</v>
      </c>
      <c r="E10" s="100">
        <v>5</v>
      </c>
      <c r="F10" s="118">
        <v>6</v>
      </c>
      <c r="G10" s="824">
        <v>7</v>
      </c>
      <c r="H10" s="824">
        <v>8</v>
      </c>
      <c r="I10" s="824">
        <v>9</v>
      </c>
      <c r="J10" s="824">
        <v>10</v>
      </c>
      <c r="K10" s="118">
        <v>11</v>
      </c>
      <c r="L10" s="118">
        <v>12</v>
      </c>
      <c r="M10" s="118">
        <v>13</v>
      </c>
    </row>
    <row r="11" spans="1:13" ht="12.75">
      <c r="A11" s="158" t="s">
        <v>408</v>
      </c>
      <c r="B11" s="101">
        <v>54</v>
      </c>
      <c r="C11" s="101"/>
      <c r="D11" s="101">
        <f>SUM(B11:C11)</f>
        <v>54</v>
      </c>
      <c r="E11" s="101">
        <v>75</v>
      </c>
      <c r="F11" s="101"/>
      <c r="G11" s="101">
        <f>SUM(E11:F11)</f>
        <v>75</v>
      </c>
      <c r="H11" s="101">
        <v>63.5</v>
      </c>
      <c r="I11" s="101"/>
      <c r="J11" s="101">
        <f>SUM(H11:I11)</f>
        <v>63.5</v>
      </c>
      <c r="K11" s="101">
        <v>42.5</v>
      </c>
      <c r="L11" s="101"/>
      <c r="M11" s="101">
        <f>SUM(K11:L11)</f>
        <v>42.5</v>
      </c>
    </row>
    <row r="12" spans="1:13" s="825" customFormat="1" ht="12.75">
      <c r="A12" s="160" t="s">
        <v>409</v>
      </c>
      <c r="C12" s="101"/>
      <c r="D12" s="101"/>
      <c r="E12" s="101"/>
      <c r="F12" s="101"/>
      <c r="G12" s="101"/>
      <c r="H12" s="101"/>
      <c r="I12" s="101"/>
      <c r="J12" s="101"/>
      <c r="K12" s="37"/>
      <c r="L12" s="833"/>
      <c r="M12" s="833"/>
    </row>
    <row r="13" spans="1:13" ht="12.75">
      <c r="A13" s="158" t="s">
        <v>410</v>
      </c>
      <c r="B13" s="101">
        <v>127121</v>
      </c>
      <c r="C13" s="42">
        <f>300+3852</f>
        <v>4152</v>
      </c>
      <c r="D13" s="42">
        <f>SUM(B13:C13)</f>
        <v>131273</v>
      </c>
      <c r="E13" s="42">
        <v>183912</v>
      </c>
      <c r="F13" s="42">
        <f>300+5452</f>
        <v>5752</v>
      </c>
      <c r="G13" s="42">
        <f>SUM(E13:F13)</f>
        <v>189664</v>
      </c>
      <c r="H13" s="42">
        <v>181156</v>
      </c>
      <c r="I13" s="42">
        <f>1831+335+4760</f>
        <v>6926</v>
      </c>
      <c r="J13" s="42">
        <f>SUM(H13:I13)</f>
        <v>188082</v>
      </c>
      <c r="K13" s="42">
        <v>121100</v>
      </c>
      <c r="L13" s="101">
        <f>300+3055</f>
        <v>3355</v>
      </c>
      <c r="M13" s="42">
        <f>SUM(K13:L13)</f>
        <v>124455</v>
      </c>
    </row>
    <row r="14" spans="1:13" ht="12.75">
      <c r="A14" s="158" t="s">
        <v>374</v>
      </c>
      <c r="B14" s="42">
        <v>40657</v>
      </c>
      <c r="C14" s="42">
        <f>87+1117+9+116</f>
        <v>1329</v>
      </c>
      <c r="D14" s="42">
        <f>SUM(B14:C14)</f>
        <v>41986</v>
      </c>
      <c r="E14" s="42">
        <v>58400</v>
      </c>
      <c r="F14" s="42">
        <f>87+1580+9+164</f>
        <v>1840</v>
      </c>
      <c r="G14" s="42">
        <f>SUM(E14:F14)</f>
        <v>60240</v>
      </c>
      <c r="H14" s="42">
        <v>58057</v>
      </c>
      <c r="I14" s="42">
        <f>531+99+1379+55+10+143</f>
        <v>2217</v>
      </c>
      <c r="J14" s="42">
        <f>SUM(H14:I14)</f>
        <v>60274</v>
      </c>
      <c r="K14" s="42">
        <v>38775</v>
      </c>
      <c r="L14" s="101">
        <f>87+886+9+91</f>
        <v>1073</v>
      </c>
      <c r="M14" s="42">
        <f>SUM(K14:L14)</f>
        <v>39848</v>
      </c>
    </row>
    <row r="15" spans="1:13" ht="12.75">
      <c r="A15" s="158" t="s">
        <v>375</v>
      </c>
      <c r="B15" s="42">
        <v>48837</v>
      </c>
      <c r="C15" s="42">
        <f>-250+870+1793+87+83</f>
        <v>2583</v>
      </c>
      <c r="D15" s="42">
        <f>SUM(B15:C15)</f>
        <v>51420</v>
      </c>
      <c r="E15" s="42">
        <v>33281</v>
      </c>
      <c r="F15" s="42">
        <f>350+1500+50+27</f>
        <v>1927</v>
      </c>
      <c r="G15" s="42">
        <f>SUM(E15:F15)</f>
        <v>35208</v>
      </c>
      <c r="H15" s="42">
        <v>58612</v>
      </c>
      <c r="I15" s="42">
        <f>58+33+78-41+536+116+2488+88</f>
        <v>3356</v>
      </c>
      <c r="J15" s="42">
        <f>SUM(H15:I15)</f>
        <v>61968</v>
      </c>
      <c r="K15" s="42">
        <v>44107</v>
      </c>
      <c r="L15" s="101">
        <f>-67-2158-292+833</f>
        <v>-1684</v>
      </c>
      <c r="M15" s="42">
        <f>SUM(K15:L15)</f>
        <v>42423</v>
      </c>
    </row>
    <row r="16" spans="1:13" ht="22.5">
      <c r="A16" s="829" t="s">
        <v>281</v>
      </c>
      <c r="B16" s="42"/>
      <c r="C16" s="42"/>
      <c r="D16" s="42">
        <f>SUM(B16:C16)</f>
        <v>0</v>
      </c>
      <c r="E16" s="42"/>
      <c r="F16" s="42"/>
      <c r="G16" s="42"/>
      <c r="H16" s="42"/>
      <c r="I16" s="42"/>
      <c r="J16" s="42"/>
      <c r="K16" s="101"/>
      <c r="L16" s="101"/>
      <c r="M16" s="42">
        <f>SUM(K16:L16)</f>
        <v>0</v>
      </c>
    </row>
    <row r="17" spans="1:13" ht="12.75">
      <c r="A17" s="158" t="s">
        <v>665</v>
      </c>
      <c r="B17" s="42">
        <v>35</v>
      </c>
      <c r="C17" s="42"/>
      <c r="D17" s="42">
        <f>SUM(B17:C17)</f>
        <v>35</v>
      </c>
      <c r="E17" s="42"/>
      <c r="F17" s="42"/>
      <c r="G17" s="42"/>
      <c r="H17" s="42"/>
      <c r="I17" s="42"/>
      <c r="J17" s="42"/>
      <c r="K17" s="158">
        <v>195</v>
      </c>
      <c r="L17" s="158"/>
      <c r="M17" s="42">
        <f>SUM(K17:L17)</f>
        <v>195</v>
      </c>
    </row>
    <row r="18" spans="1:13" s="825" customFormat="1" ht="12.75">
      <c r="A18" s="160" t="s">
        <v>376</v>
      </c>
      <c r="B18" s="37">
        <f aca="true" t="shared" si="0" ref="B18:M18">SUM(B13:B17)</f>
        <v>216650</v>
      </c>
      <c r="C18" s="37">
        <f t="shared" si="0"/>
        <v>8064</v>
      </c>
      <c r="D18" s="37">
        <f t="shared" si="0"/>
        <v>224714</v>
      </c>
      <c r="E18" s="37">
        <f t="shared" si="0"/>
        <v>275593</v>
      </c>
      <c r="F18" s="37">
        <f t="shared" si="0"/>
        <v>9519</v>
      </c>
      <c r="G18" s="37">
        <f t="shared" si="0"/>
        <v>285112</v>
      </c>
      <c r="H18" s="37">
        <f t="shared" si="0"/>
        <v>297825</v>
      </c>
      <c r="I18" s="37">
        <f t="shared" si="0"/>
        <v>12499</v>
      </c>
      <c r="J18" s="37">
        <f t="shared" si="0"/>
        <v>310324</v>
      </c>
      <c r="K18" s="37">
        <f t="shared" si="0"/>
        <v>204177</v>
      </c>
      <c r="L18" s="37">
        <f t="shared" si="0"/>
        <v>2744</v>
      </c>
      <c r="M18" s="37">
        <f t="shared" si="0"/>
        <v>206921</v>
      </c>
    </row>
    <row r="19" spans="1:13" ht="12.75">
      <c r="A19" s="158" t="s">
        <v>423</v>
      </c>
      <c r="B19" s="42"/>
      <c r="C19" s="42"/>
      <c r="D19" s="42">
        <f>SUM(B19:C19)</f>
        <v>0</v>
      </c>
      <c r="E19" s="42">
        <v>43226</v>
      </c>
      <c r="F19" s="42">
        <v>471</v>
      </c>
      <c r="G19" s="42">
        <f>SUM(E19:F19)</f>
        <v>43697</v>
      </c>
      <c r="H19" s="42"/>
      <c r="I19" s="42"/>
      <c r="J19" s="42">
        <f>SUM(H19:I19)</f>
        <v>0</v>
      </c>
      <c r="K19" s="158"/>
      <c r="L19" s="158"/>
      <c r="M19" s="42">
        <f>SUM(K19:L19)</f>
        <v>0</v>
      </c>
    </row>
    <row r="20" spans="1:13" ht="12.75">
      <c r="A20" s="158" t="s">
        <v>424</v>
      </c>
      <c r="B20" s="42">
        <v>138</v>
      </c>
      <c r="C20" s="42">
        <v>250</v>
      </c>
      <c r="D20" s="42">
        <f>SUM(B20:C20)</f>
        <v>388</v>
      </c>
      <c r="E20" s="42"/>
      <c r="F20" s="42"/>
      <c r="G20" s="42">
        <f>SUM(E20:F20)</f>
        <v>0</v>
      </c>
      <c r="H20" s="42">
        <v>128</v>
      </c>
      <c r="I20" s="42">
        <v>41</v>
      </c>
      <c r="J20" s="42">
        <f>SUM(H20:I20)</f>
        <v>169</v>
      </c>
      <c r="K20" s="158">
        <v>235</v>
      </c>
      <c r="L20" s="158">
        <f>67+2158+292</f>
        <v>2517</v>
      </c>
      <c r="M20" s="42">
        <f>SUM(K20:L20)</f>
        <v>2752</v>
      </c>
    </row>
    <row r="21" spans="1:13" ht="24">
      <c r="A21" s="47" t="s">
        <v>422</v>
      </c>
      <c r="B21" s="42"/>
      <c r="C21" s="42"/>
      <c r="D21" s="42">
        <f>SUM(B21:C21)</f>
        <v>0</v>
      </c>
      <c r="E21" s="42"/>
      <c r="F21" s="42"/>
      <c r="G21" s="42">
        <f>SUM(E21:F21)</f>
        <v>0</v>
      </c>
      <c r="H21" s="42"/>
      <c r="I21" s="42"/>
      <c r="J21" s="42">
        <f>SUM(H21:I21)</f>
        <v>0</v>
      </c>
      <c r="K21" s="829"/>
      <c r="L21" s="829"/>
      <c r="M21" s="42">
        <f>SUM(K21:L21)</f>
        <v>0</v>
      </c>
    </row>
    <row r="22" spans="1:13" s="825" customFormat="1" ht="12.75">
      <c r="A22" s="160" t="s">
        <v>83</v>
      </c>
      <c r="B22" s="37">
        <f aca="true" t="shared" si="1" ref="B22:M22">SUM(B19:B21)</f>
        <v>138</v>
      </c>
      <c r="C22" s="37">
        <f t="shared" si="1"/>
        <v>250</v>
      </c>
      <c r="D22" s="37">
        <f t="shared" si="1"/>
        <v>388</v>
      </c>
      <c r="E22" s="37">
        <f t="shared" si="1"/>
        <v>43226</v>
      </c>
      <c r="F22" s="37">
        <f t="shared" si="1"/>
        <v>471</v>
      </c>
      <c r="G22" s="37">
        <f t="shared" si="1"/>
        <v>43697</v>
      </c>
      <c r="H22" s="37">
        <f t="shared" si="1"/>
        <v>128</v>
      </c>
      <c r="I22" s="37">
        <f t="shared" si="1"/>
        <v>41</v>
      </c>
      <c r="J22" s="37">
        <f t="shared" si="1"/>
        <v>169</v>
      </c>
      <c r="K22" s="37">
        <f t="shared" si="1"/>
        <v>235</v>
      </c>
      <c r="L22" s="37">
        <f t="shared" si="1"/>
        <v>2517</v>
      </c>
      <c r="M22" s="37">
        <f t="shared" si="1"/>
        <v>2752</v>
      </c>
    </row>
    <row r="23" spans="1:13" s="825" customFormat="1" ht="12.75">
      <c r="A23" s="162" t="s">
        <v>84</v>
      </c>
      <c r="B23" s="37">
        <f aca="true" t="shared" si="2" ref="B23:M23">SUM(B18+B22)</f>
        <v>216788</v>
      </c>
      <c r="C23" s="37">
        <f t="shared" si="2"/>
        <v>8314</v>
      </c>
      <c r="D23" s="37">
        <f t="shared" si="2"/>
        <v>225102</v>
      </c>
      <c r="E23" s="37">
        <f t="shared" si="2"/>
        <v>318819</v>
      </c>
      <c r="F23" s="37">
        <f t="shared" si="2"/>
        <v>9990</v>
      </c>
      <c r="G23" s="37">
        <f t="shared" si="2"/>
        <v>328809</v>
      </c>
      <c r="H23" s="37">
        <f t="shared" si="2"/>
        <v>297953</v>
      </c>
      <c r="I23" s="37">
        <f t="shared" si="2"/>
        <v>12540</v>
      </c>
      <c r="J23" s="37">
        <f t="shared" si="2"/>
        <v>310493</v>
      </c>
      <c r="K23" s="37">
        <f t="shared" si="2"/>
        <v>204412</v>
      </c>
      <c r="L23" s="37">
        <f t="shared" si="2"/>
        <v>5261</v>
      </c>
      <c r="M23" s="37">
        <f t="shared" si="2"/>
        <v>209673</v>
      </c>
    </row>
    <row r="24" spans="1:13" s="825" customFormat="1" ht="12.75">
      <c r="A24" s="160" t="s">
        <v>85</v>
      </c>
      <c r="B24" s="42"/>
      <c r="C24" s="42"/>
      <c r="D24" s="42"/>
      <c r="E24" s="42"/>
      <c r="F24" s="42"/>
      <c r="G24" s="42"/>
      <c r="H24" s="42"/>
      <c r="I24" s="42"/>
      <c r="J24" s="42"/>
      <c r="K24" s="160"/>
      <c r="L24" s="160"/>
      <c r="M24" s="160"/>
    </row>
    <row r="25" spans="1:13" ht="22.5">
      <c r="A25" s="829" t="s">
        <v>282</v>
      </c>
      <c r="B25" s="42"/>
      <c r="C25" s="42"/>
      <c r="D25" s="42">
        <f aca="true" t="shared" si="3" ref="D25:D33">SUM(B25:C25)</f>
        <v>0</v>
      </c>
      <c r="E25" s="42"/>
      <c r="F25" s="42"/>
      <c r="G25" s="42">
        <f aca="true" t="shared" si="4" ref="G25:G33">SUM(E25:F25)</f>
        <v>0</v>
      </c>
      <c r="H25" s="42"/>
      <c r="I25" s="42"/>
      <c r="J25" s="42">
        <f aca="true" t="shared" si="5" ref="J25:J33">SUM(H25:I25)</f>
        <v>0</v>
      </c>
      <c r="K25" s="47"/>
      <c r="L25" s="47"/>
      <c r="M25" s="42">
        <f aca="true" t="shared" si="6" ref="M25:M33">SUM(K25:L25)</f>
        <v>0</v>
      </c>
    </row>
    <row r="26" spans="1:13" ht="22.5">
      <c r="A26" s="829" t="s">
        <v>289</v>
      </c>
      <c r="B26" s="42">
        <v>9000</v>
      </c>
      <c r="C26" s="42"/>
      <c r="D26" s="42">
        <f t="shared" si="3"/>
        <v>9000</v>
      </c>
      <c r="E26" s="42">
        <v>2737</v>
      </c>
      <c r="F26" s="42"/>
      <c r="G26" s="42">
        <f t="shared" si="4"/>
        <v>2737</v>
      </c>
      <c r="H26" s="42">
        <v>10716</v>
      </c>
      <c r="I26" s="42">
        <f>536+2417</f>
        <v>2953</v>
      </c>
      <c r="J26" s="42">
        <f t="shared" si="5"/>
        <v>13669</v>
      </c>
      <c r="K26" s="47">
        <v>4382</v>
      </c>
      <c r="L26" s="47"/>
      <c r="M26" s="42">
        <f t="shared" si="6"/>
        <v>4382</v>
      </c>
    </row>
    <row r="27" spans="1:13" ht="12.75">
      <c r="A27" s="158" t="s">
        <v>290</v>
      </c>
      <c r="B27" s="42"/>
      <c r="C27" s="42"/>
      <c r="D27" s="42">
        <f t="shared" si="3"/>
        <v>0</v>
      </c>
      <c r="E27" s="42"/>
      <c r="F27" s="42"/>
      <c r="G27" s="42">
        <f t="shared" si="4"/>
        <v>0</v>
      </c>
      <c r="H27" s="42"/>
      <c r="I27" s="42"/>
      <c r="J27" s="42">
        <f t="shared" si="5"/>
        <v>0</v>
      </c>
      <c r="K27" s="158">
        <v>1281</v>
      </c>
      <c r="L27" s="158"/>
      <c r="M27" s="42">
        <f t="shared" si="6"/>
        <v>1281</v>
      </c>
    </row>
    <row r="28" spans="1:13" ht="12.75">
      <c r="A28" s="158" t="s">
        <v>666</v>
      </c>
      <c r="B28" s="42">
        <v>1651</v>
      </c>
      <c r="C28" s="42"/>
      <c r="D28" s="42">
        <f t="shared" si="3"/>
        <v>1651</v>
      </c>
      <c r="E28" s="42">
        <v>548</v>
      </c>
      <c r="F28" s="42"/>
      <c r="G28" s="42">
        <f t="shared" si="4"/>
        <v>548</v>
      </c>
      <c r="H28" s="42">
        <v>1582</v>
      </c>
      <c r="I28" s="42"/>
      <c r="J28" s="42">
        <f t="shared" si="5"/>
        <v>1582</v>
      </c>
      <c r="K28" s="158">
        <v>256</v>
      </c>
      <c r="L28" s="158"/>
      <c r="M28" s="42">
        <f t="shared" si="6"/>
        <v>256</v>
      </c>
    </row>
    <row r="29" spans="1:13" ht="12.75">
      <c r="A29" s="158" t="s">
        <v>667</v>
      </c>
      <c r="B29" s="42"/>
      <c r="C29" s="42"/>
      <c r="D29" s="42">
        <f t="shared" si="3"/>
        <v>0</v>
      </c>
      <c r="E29" s="42"/>
      <c r="F29" s="42"/>
      <c r="G29" s="42">
        <f t="shared" si="4"/>
        <v>0</v>
      </c>
      <c r="H29" s="42"/>
      <c r="I29" s="42"/>
      <c r="J29" s="42">
        <f t="shared" si="5"/>
        <v>0</v>
      </c>
      <c r="K29" s="158"/>
      <c r="L29" s="158"/>
      <c r="M29" s="42">
        <f t="shared" si="6"/>
        <v>0</v>
      </c>
    </row>
    <row r="30" spans="1:13" ht="24">
      <c r="A30" s="47" t="s">
        <v>417</v>
      </c>
      <c r="B30" s="42">
        <v>1</v>
      </c>
      <c r="C30" s="42"/>
      <c r="D30" s="42">
        <f t="shared" si="3"/>
        <v>1</v>
      </c>
      <c r="E30" s="42">
        <v>61</v>
      </c>
      <c r="F30" s="42"/>
      <c r="G30" s="42">
        <f t="shared" si="4"/>
        <v>61</v>
      </c>
      <c r="H30" s="42"/>
      <c r="I30" s="42"/>
      <c r="J30" s="42">
        <f t="shared" si="5"/>
        <v>0</v>
      </c>
      <c r="K30" s="804">
        <v>200</v>
      </c>
      <c r="L30" s="805"/>
      <c r="M30" s="42">
        <f t="shared" si="6"/>
        <v>200</v>
      </c>
    </row>
    <row r="31" spans="1:13" ht="24">
      <c r="A31" s="164" t="s">
        <v>418</v>
      </c>
      <c r="B31" s="42"/>
      <c r="C31" s="42"/>
      <c r="D31" s="42">
        <f t="shared" si="3"/>
        <v>0</v>
      </c>
      <c r="E31" s="42"/>
      <c r="F31" s="42"/>
      <c r="G31" s="42">
        <f t="shared" si="4"/>
        <v>0</v>
      </c>
      <c r="H31" s="42"/>
      <c r="I31" s="42"/>
      <c r="J31" s="42">
        <f t="shared" si="5"/>
        <v>0</v>
      </c>
      <c r="K31" s="830"/>
      <c r="L31" s="830"/>
      <c r="M31" s="42">
        <f t="shared" si="6"/>
        <v>0</v>
      </c>
    </row>
    <row r="32" spans="1:13" ht="12.75">
      <c r="A32" s="158" t="s">
        <v>419</v>
      </c>
      <c r="B32" s="42"/>
      <c r="C32" s="42"/>
      <c r="D32" s="42">
        <f t="shared" si="3"/>
        <v>0</v>
      </c>
      <c r="E32" s="42"/>
      <c r="F32" s="42"/>
      <c r="G32" s="42">
        <f t="shared" si="4"/>
        <v>0</v>
      </c>
      <c r="H32" s="42"/>
      <c r="I32" s="42"/>
      <c r="J32" s="42">
        <f t="shared" si="5"/>
        <v>0</v>
      </c>
      <c r="K32" s="158"/>
      <c r="L32" s="158"/>
      <c r="M32" s="42">
        <f t="shared" si="6"/>
        <v>0</v>
      </c>
    </row>
    <row r="33" spans="1:13" ht="12.75">
      <c r="A33" s="158" t="s">
        <v>420</v>
      </c>
      <c r="B33" s="42">
        <v>2222</v>
      </c>
      <c r="C33" s="42"/>
      <c r="D33" s="42">
        <f t="shared" si="3"/>
        <v>2222</v>
      </c>
      <c r="E33" s="42">
        <v>1210</v>
      </c>
      <c r="F33" s="42"/>
      <c r="G33" s="42">
        <f t="shared" si="4"/>
        <v>1210</v>
      </c>
      <c r="H33" s="42">
        <v>3115</v>
      </c>
      <c r="I33" s="42"/>
      <c r="J33" s="42">
        <f t="shared" si="5"/>
        <v>3115</v>
      </c>
      <c r="K33" s="158">
        <v>3667</v>
      </c>
      <c r="L33" s="158"/>
      <c r="M33" s="42">
        <f t="shared" si="6"/>
        <v>3667</v>
      </c>
    </row>
    <row r="34" spans="1:13" ht="12.75">
      <c r="A34" s="158" t="s">
        <v>421</v>
      </c>
      <c r="B34" s="42">
        <f aca="true" t="shared" si="7" ref="B34:I34">+B23-B25-B26-B27-B28-B30-B31-B32-B33-B29</f>
        <v>203914</v>
      </c>
      <c r="C34" s="42">
        <f t="shared" si="7"/>
        <v>8314</v>
      </c>
      <c r="D34" s="42">
        <f t="shared" si="7"/>
        <v>212228</v>
      </c>
      <c r="E34" s="42">
        <f t="shared" si="7"/>
        <v>314263</v>
      </c>
      <c r="F34" s="42">
        <f t="shared" si="7"/>
        <v>9990</v>
      </c>
      <c r="G34" s="42">
        <f t="shared" si="7"/>
        <v>324253</v>
      </c>
      <c r="H34" s="42">
        <f t="shared" si="7"/>
        <v>282540</v>
      </c>
      <c r="I34" s="42">
        <f t="shared" si="7"/>
        <v>9587</v>
      </c>
      <c r="J34" s="42">
        <f>+J23-J33-J26-J27-J28-J30-J31-J32-J29</f>
        <v>292127</v>
      </c>
      <c r="K34" s="42">
        <f>+K23-K25-K26-K27-K28-K30-K31-K32-K33-K29</f>
        <v>194626</v>
      </c>
      <c r="L34" s="42">
        <f>+L23-L25-L26-L27-L28-L30-L31-L32-L33-L29</f>
        <v>5261</v>
      </c>
      <c r="M34" s="42">
        <f>+M23-M25-M26-M27-M28-M30-M31-M33-M29</f>
        <v>199887</v>
      </c>
    </row>
    <row r="35" spans="1:13" ht="12.75">
      <c r="A35" s="826" t="s">
        <v>66</v>
      </c>
      <c r="B35" s="42">
        <v>90189</v>
      </c>
      <c r="C35" s="42"/>
      <c r="D35" s="42">
        <f>SUM(B35:C35)</f>
        <v>90189</v>
      </c>
      <c r="E35" s="42">
        <v>65540</v>
      </c>
      <c r="F35" s="42"/>
      <c r="G35" s="42">
        <f>SUM(E35:F35)</f>
        <v>65540</v>
      </c>
      <c r="H35" s="42">
        <v>144644</v>
      </c>
      <c r="I35" s="42"/>
      <c r="J35" s="42">
        <f>SUM(H35:I35)</f>
        <v>144644</v>
      </c>
      <c r="K35" s="834" t="s">
        <v>710</v>
      </c>
      <c r="L35" s="826"/>
      <c r="M35" s="42">
        <v>108311</v>
      </c>
    </row>
    <row r="36" spans="1:13" ht="12.75">
      <c r="A36" s="803" t="s">
        <v>693</v>
      </c>
      <c r="B36" s="42"/>
      <c r="C36" s="42"/>
      <c r="D36" s="42">
        <f>SUM(B36:C36)</f>
        <v>0</v>
      </c>
      <c r="E36" s="42">
        <v>12610</v>
      </c>
      <c r="F36" s="42"/>
      <c r="G36" s="42">
        <f>SUM(E36:F36)</f>
        <v>12610</v>
      </c>
      <c r="H36" s="42"/>
      <c r="I36" s="42"/>
      <c r="J36" s="42">
        <f>SUM(H36:I36)</f>
        <v>0</v>
      </c>
      <c r="K36" s="803"/>
      <c r="L36" s="803"/>
      <c r="M36" s="42">
        <f>SUM(K36:L36)</f>
        <v>0</v>
      </c>
    </row>
    <row r="37" spans="1:13" s="825" customFormat="1" ht="12.75">
      <c r="A37" s="162" t="s">
        <v>396</v>
      </c>
      <c r="B37" s="37">
        <f aca="true" t="shared" si="8" ref="B37:I37">SUM(B25:B34)</f>
        <v>216788</v>
      </c>
      <c r="C37" s="37">
        <f t="shared" si="8"/>
        <v>8314</v>
      </c>
      <c r="D37" s="37">
        <f t="shared" si="8"/>
        <v>225102</v>
      </c>
      <c r="E37" s="37">
        <f t="shared" si="8"/>
        <v>318819</v>
      </c>
      <c r="F37" s="37">
        <f t="shared" si="8"/>
        <v>9990</v>
      </c>
      <c r="G37" s="37">
        <f t="shared" si="8"/>
        <v>328809</v>
      </c>
      <c r="H37" s="37">
        <f t="shared" si="8"/>
        <v>297953</v>
      </c>
      <c r="I37" s="37">
        <f t="shared" si="8"/>
        <v>12540</v>
      </c>
      <c r="J37" s="37">
        <f>SUM(J26:J34)</f>
        <v>310493</v>
      </c>
      <c r="K37" s="37">
        <f>SUM(K25:K34)</f>
        <v>204412</v>
      </c>
      <c r="L37" s="37">
        <f>SUM(L25:L34)</f>
        <v>5261</v>
      </c>
      <c r="M37" s="37">
        <f>SUM(M25:M34)</f>
        <v>209673</v>
      </c>
    </row>
  </sheetData>
  <mergeCells count="9">
    <mergeCell ref="B7:D7"/>
    <mergeCell ref="B6:D6"/>
    <mergeCell ref="B8:M8"/>
    <mergeCell ref="A2:M2"/>
    <mergeCell ref="B4:D4"/>
    <mergeCell ref="E4:G4"/>
    <mergeCell ref="H4:J4"/>
    <mergeCell ref="K4:M4"/>
    <mergeCell ref="L3:M3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&amp;C&amp;"Times New Roman,Normál"9&amp;R&amp;"Times New Roman,Normál"6/a. számú melléklet&amp;"MS Sans Serif,Normál"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B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9" sqref="B9:M9"/>
    </sheetView>
  </sheetViews>
  <sheetFormatPr defaultColWidth="9.140625" defaultRowHeight="12.75"/>
  <cols>
    <col min="1" max="1" width="28.140625" style="168" customWidth="1"/>
    <col min="2" max="2" width="10.28125" style="168" customWidth="1"/>
    <col min="3" max="3" width="7.7109375" style="168" customWidth="1"/>
    <col min="4" max="4" width="9.28125" style="168" customWidth="1"/>
    <col min="5" max="5" width="10.140625" style="168" customWidth="1"/>
    <col min="6" max="6" width="7.140625" style="168" customWidth="1"/>
    <col min="7" max="7" width="9.28125" style="168" customWidth="1"/>
    <col min="8" max="8" width="10.00390625" style="168" customWidth="1"/>
    <col min="9" max="9" width="7.57421875" style="168" customWidth="1"/>
    <col min="10" max="10" width="9.28125" style="168" customWidth="1"/>
    <col min="11" max="11" width="10.28125" style="808" customWidth="1"/>
    <col min="12" max="12" width="7.57421875" style="808" customWidth="1"/>
    <col min="13" max="13" width="9.8515625" style="808" customWidth="1"/>
    <col min="14" max="16384" width="9.140625" style="808" customWidth="1"/>
  </cols>
  <sheetData>
    <row r="1" ht="9" customHeight="1"/>
    <row r="2" spans="1:13" ht="18.75">
      <c r="A2" s="902" t="s">
        <v>711</v>
      </c>
      <c r="B2" s="903"/>
      <c r="C2" s="903"/>
      <c r="D2" s="903"/>
      <c r="E2" s="903"/>
      <c r="F2" s="903"/>
      <c r="G2" s="903"/>
      <c r="H2" s="903"/>
      <c r="I2" s="903"/>
      <c r="J2" s="903"/>
      <c r="K2" s="885"/>
      <c r="L2" s="885"/>
      <c r="M2" s="885"/>
    </row>
    <row r="3" spans="9:13" ht="15" customHeight="1">
      <c r="I3" s="904"/>
      <c r="J3" s="905"/>
      <c r="L3" s="883" t="s">
        <v>377</v>
      </c>
      <c r="M3" s="883"/>
    </row>
    <row r="4" spans="1:13" ht="12.75">
      <c r="A4" s="811" t="s">
        <v>402</v>
      </c>
      <c r="B4" s="888">
        <v>37</v>
      </c>
      <c r="C4" s="889"/>
      <c r="D4" s="890"/>
      <c r="E4" s="899">
        <v>38</v>
      </c>
      <c r="F4" s="900"/>
      <c r="G4" s="901"/>
      <c r="H4" s="880">
        <v>39</v>
      </c>
      <c r="I4" s="886"/>
      <c r="J4" s="887"/>
      <c r="K4" s="899">
        <v>40</v>
      </c>
      <c r="L4" s="900"/>
      <c r="M4" s="901"/>
    </row>
    <row r="5" spans="1:13" ht="12.75">
      <c r="A5" s="811" t="s">
        <v>170</v>
      </c>
      <c r="B5" s="811"/>
      <c r="C5" s="815"/>
      <c r="D5" s="801"/>
      <c r="E5" s="811"/>
      <c r="F5" s="816"/>
      <c r="G5" s="817"/>
      <c r="H5" s="818"/>
      <c r="I5" s="816"/>
      <c r="J5" s="817"/>
      <c r="K5" s="818"/>
      <c r="L5" s="816"/>
      <c r="M5" s="817"/>
    </row>
    <row r="6" spans="1:13" ht="12.75">
      <c r="A6" s="811" t="s">
        <v>403</v>
      </c>
      <c r="B6" s="888" t="s">
        <v>712</v>
      </c>
      <c r="C6" s="906"/>
      <c r="D6" s="907"/>
      <c r="E6" s="812" t="s">
        <v>713</v>
      </c>
      <c r="F6" s="813"/>
      <c r="G6" s="814"/>
      <c r="H6" s="880" t="s">
        <v>170</v>
      </c>
      <c r="I6" s="881"/>
      <c r="J6" s="882"/>
      <c r="K6" s="835" t="s">
        <v>397</v>
      </c>
      <c r="L6" s="836"/>
      <c r="M6" s="837"/>
    </row>
    <row r="7" spans="1:13" ht="12.75">
      <c r="A7" s="811" t="s">
        <v>404</v>
      </c>
      <c r="B7" s="880">
        <v>921815</v>
      </c>
      <c r="C7" s="881"/>
      <c r="D7" s="882"/>
      <c r="E7" s="880">
        <v>853213</v>
      </c>
      <c r="F7" s="881"/>
      <c r="G7" s="882"/>
      <c r="H7" s="880">
        <v>751757</v>
      </c>
      <c r="I7" s="881"/>
      <c r="J7" s="882"/>
      <c r="K7" s="812"/>
      <c r="L7" s="813"/>
      <c r="M7" s="814"/>
    </row>
    <row r="8" spans="1:13" ht="12.75">
      <c r="A8" s="820" t="s">
        <v>405</v>
      </c>
      <c r="B8" s="897" t="s">
        <v>406</v>
      </c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</row>
    <row r="9" spans="1:13" s="25" customFormat="1" ht="37.5" customHeight="1">
      <c r="A9" s="100" t="s">
        <v>407</v>
      </c>
      <c r="B9" s="806" t="s">
        <v>664</v>
      </c>
      <c r="C9" s="806" t="s">
        <v>715</v>
      </c>
      <c r="D9" s="839" t="s">
        <v>716</v>
      </c>
      <c r="E9" s="806" t="s">
        <v>664</v>
      </c>
      <c r="F9" s="806" t="s">
        <v>715</v>
      </c>
      <c r="G9" s="839" t="s">
        <v>716</v>
      </c>
      <c r="H9" s="806" t="s">
        <v>664</v>
      </c>
      <c r="I9" s="806" t="s">
        <v>715</v>
      </c>
      <c r="J9" s="839" t="s">
        <v>716</v>
      </c>
      <c r="K9" s="806" t="s">
        <v>664</v>
      </c>
      <c r="L9" s="806" t="s">
        <v>715</v>
      </c>
      <c r="M9" s="839" t="s">
        <v>716</v>
      </c>
    </row>
    <row r="10" spans="1:13" ht="11.25" customHeight="1">
      <c r="A10" s="118" t="s">
        <v>208</v>
      </c>
      <c r="B10" s="824" t="s">
        <v>209</v>
      </c>
      <c r="C10" s="100" t="s">
        <v>210</v>
      </c>
      <c r="D10" s="100" t="s">
        <v>182</v>
      </c>
      <c r="E10" s="100" t="s">
        <v>183</v>
      </c>
      <c r="F10" s="100" t="s">
        <v>184</v>
      </c>
      <c r="G10" s="100" t="s">
        <v>185</v>
      </c>
      <c r="H10" s="100" t="s">
        <v>186</v>
      </c>
      <c r="I10" s="100" t="s">
        <v>187</v>
      </c>
      <c r="J10" s="100" t="s">
        <v>188</v>
      </c>
      <c r="K10" s="100" t="s">
        <v>189</v>
      </c>
      <c r="L10" s="100" t="s">
        <v>190</v>
      </c>
      <c r="M10" s="100" t="s">
        <v>191</v>
      </c>
    </row>
    <row r="11" spans="1:13" ht="12.75">
      <c r="A11" s="158" t="s">
        <v>408</v>
      </c>
      <c r="B11" s="101">
        <v>27.5</v>
      </c>
      <c r="C11" s="101"/>
      <c r="D11" s="101">
        <f>SUM(B11:C11)</f>
        <v>27.5</v>
      </c>
      <c r="E11" s="101">
        <v>124</v>
      </c>
      <c r="F11" s="101"/>
      <c r="G11" s="101">
        <f>SUM(E11:F11)</f>
        <v>124</v>
      </c>
      <c r="H11" s="158">
        <v>53.5</v>
      </c>
      <c r="I11" s="158"/>
      <c r="J11" s="158">
        <f>SUM(H11:I11)</f>
        <v>53.5</v>
      </c>
      <c r="K11" s="838">
        <f>'6a.melléklet (1)'!B11+'6a.melléklet (1)'!E11+'6a.melléklet (1)'!H11+'6a.melléklet (1)'!K11+'6a.melléklet (2)'!B11+'6a.melléklet (2)'!E11+'6a.melléklet (2)'!H11+'6a.melléklet (2)'!K11+'6a.melléklet (3)'!B11+'6a.melléklet (3)'!E11+'6a.melléklet (3)'!H11+'6a.melléklet (3)'!K11+'6a.melléklet (4)'!B11+'6a.melléklet (4)'!E11+'6a.melléklet (4)'!H11+'6a.melléklet (4)'!K11+'6a.melléklet (5)'!B11+'6a.melléklet (5)'!E11+'6a.melléklet (5)'!H11+'6a.melléklet (5)'!K11+'6a.melléklet (6)'!B11+'6a.melléklet (6)'!E11+'6a.melléklet (6)'!H11+'6a.melléklet (6)'!K11+'6a.melléklet (7)'!B11+'6a.melléklet (7)'!E11+'6a.melléklet (7)'!H11+'6a.melléklet (7)'!K11+'6a.melléklet (8)'!B11+'6a.melléklet (8)'!E11+'6a.melléklet (8)'!H11+'6a.melléklet (8)'!K11+'6a.melléklet (9)'!B11+'6a.melléklet (9)'!E11+'6a.melléklet (9)'!H11+'6a.melléklet (9)'!K11+'6a.melléklet (10)'!B11+'6a.melléklet (10)'!E11+'6a.melléklet (10)'!H11</f>
        <v>1568.5</v>
      </c>
      <c r="L11" s="838">
        <f>'6a.melléklet (1)'!C11+'6a.melléklet (1)'!F11+'6a.melléklet (1)'!I11+'6a.melléklet (1)'!L11+'6a.melléklet (2)'!C11+'6a.melléklet (2)'!F11+'6a.melléklet (2)'!I11+'6a.melléklet (2)'!L11+'6a.melléklet (3)'!C11+'6a.melléklet (3)'!F11+'6a.melléklet (3)'!I11+'6a.melléklet (3)'!L11+'6a.melléklet (4)'!C11+'6a.melléklet (4)'!F11+'6a.melléklet (4)'!I11+'6a.melléklet (4)'!L11+'6a.melléklet (5)'!C11+'6a.melléklet (5)'!F11+'6a.melléklet (5)'!I11+'6a.melléklet (5)'!L11+'6a.melléklet (6)'!C11+'6a.melléklet (6)'!F11+'6a.melléklet (6)'!I11+'6a.melléklet (6)'!L11+'6a.melléklet (7)'!C11+'6a.melléklet (7)'!F11+'6a.melléklet (7)'!I11+'6a.melléklet (7)'!L11+'6a.melléklet (8)'!C11+'6a.melléklet (8)'!F11+'6a.melléklet (8)'!I11+'6a.melléklet (8)'!L11+'6a.melléklet (9)'!C11+'6a.melléklet (9)'!F11+'6a.melléklet (9)'!I11+'6a.melléklet (9)'!L11+'6a.melléklet (10)'!C11+'6a.melléklet (10)'!F11+'6a.melléklet (10)'!I11</f>
        <v>0</v>
      </c>
      <c r="M11" s="838">
        <f>'6a.melléklet (1)'!D11+'6a.melléklet (1)'!G11+'6a.melléklet (1)'!J11+'6a.melléklet (1)'!M11+'6a.melléklet (2)'!D11+'6a.melléklet (2)'!G11+'6a.melléklet (2)'!J11+'6a.melléklet (2)'!M11+'6a.melléklet (3)'!D11+'6a.melléklet (3)'!G11+'6a.melléklet (3)'!J11+'6a.melléklet (3)'!M11+'6a.melléklet (4)'!D11+'6a.melléklet (4)'!G11+'6a.melléklet (4)'!J11+'6a.melléklet (4)'!M11+'6a.melléklet (5)'!D11+'6a.melléklet (5)'!G11+'6a.melléklet (5)'!J11+'6a.melléklet (5)'!M11+'6a.melléklet (6)'!D11+'6a.melléklet (6)'!G11+'6a.melléklet (6)'!J11+'6a.melléklet (6)'!M11+'6a.melléklet (7)'!D11+'6a.melléklet (7)'!G11+'6a.melléklet (7)'!J11+'6a.melléklet (7)'!M11+'6a.melléklet (8)'!D11+'6a.melléklet (8)'!G11+'6a.melléklet (8)'!J11+'6a.melléklet (8)'!M11+'6a.melléklet (9)'!D11+'6a.melléklet (9)'!G11+'6a.melléklet (9)'!J11+'6a.melléklet (9)'!M11+'6a.melléklet (10)'!D11+'6a.melléklet (10)'!G11+'6a.melléklet (10)'!J11</f>
        <v>1568.5</v>
      </c>
    </row>
    <row r="12" spans="1:13" s="825" customFormat="1" ht="12.75">
      <c r="A12" s="160" t="s">
        <v>409</v>
      </c>
      <c r="C12" s="37"/>
      <c r="D12" s="101"/>
      <c r="E12" s="37"/>
      <c r="F12" s="37"/>
      <c r="G12" s="101"/>
      <c r="H12" s="160"/>
      <c r="I12" s="160"/>
      <c r="J12" s="160"/>
      <c r="K12" s="42"/>
      <c r="L12" s="42"/>
      <c r="M12" s="42"/>
    </row>
    <row r="13" spans="1:13" ht="12.75">
      <c r="A13" s="158" t="s">
        <v>410</v>
      </c>
      <c r="B13" s="42">
        <v>70592</v>
      </c>
      <c r="C13" s="42">
        <f>307+143+1173+141</f>
        <v>1764</v>
      </c>
      <c r="D13" s="42">
        <f>SUM(B13:C13)</f>
        <v>72356</v>
      </c>
      <c r="E13" s="42">
        <v>191150</v>
      </c>
      <c r="F13" s="42">
        <f>300+6541</f>
        <v>6841</v>
      </c>
      <c r="G13" s="42">
        <f>SUM(E13:F13)</f>
        <v>197991</v>
      </c>
      <c r="H13" s="511">
        <v>201699</v>
      </c>
      <c r="I13" s="158">
        <f>20+300+3674+36</f>
        <v>4030</v>
      </c>
      <c r="J13" s="511">
        <f>SUM(H13:I13)</f>
        <v>205729</v>
      </c>
      <c r="K13" s="42">
        <f>'6a.melléklet (1)'!B13+'6a.melléklet (1)'!E13+'6a.melléklet (1)'!H13+'6a.melléklet (1)'!K13+'6a.melléklet (2)'!B13+'6a.melléklet (2)'!E13+'6a.melléklet (2)'!H13+'6a.melléklet (2)'!K13+'6a.melléklet (3)'!B13+'6a.melléklet (3)'!E13+'6a.melléklet (3)'!H13+'6a.melléklet (3)'!K13+'6a.melléklet (4)'!B13+'6a.melléklet (4)'!E13+'6a.melléklet (4)'!H13+'6a.melléklet (4)'!K13+'6a.melléklet (5)'!B13+'6a.melléklet (5)'!E13+'6a.melléklet (5)'!H13+'6a.melléklet (5)'!K13+'6a.melléklet (6)'!B13+'6a.melléklet (6)'!E13+'6a.melléklet (6)'!H13+'6a.melléklet (6)'!K13+'6a.melléklet (7)'!B13+'6a.melléklet (7)'!E13+'6a.melléklet (7)'!H13+'6a.melléklet (7)'!K13+'6a.melléklet (8)'!B13+'6a.melléklet (8)'!E13+'6a.melléklet (8)'!H13+'6a.melléklet (8)'!K13+'6a.melléklet (9)'!B13+'6a.melléklet (9)'!E13+'6a.melléklet (9)'!H13+'6a.melléklet (9)'!K13+'6a.melléklet (10)'!B13+'6a.melléklet (10)'!E13+'6a.melléklet (10)'!H13</f>
        <v>3660195</v>
      </c>
      <c r="L13" s="42">
        <f>'6a.melléklet (1)'!C13+'6a.melléklet (1)'!F13+'6a.melléklet (1)'!I13+'6a.melléklet (1)'!L13+'6a.melléklet (2)'!C13+'6a.melléklet (2)'!F13+'6a.melléklet (2)'!I13+'6a.melléklet (2)'!L13+'6a.melléklet (3)'!C13+'6a.melléklet (3)'!F13+'6a.melléklet (3)'!I13+'6a.melléklet (3)'!L13+'6a.melléklet (4)'!C13+'6a.melléklet (4)'!F13+'6a.melléklet (4)'!I13+'6a.melléklet (4)'!L13+'6a.melléklet (5)'!C13+'6a.melléklet (5)'!F13+'6a.melléklet (5)'!I13+'6a.melléklet (5)'!L13+'6a.melléklet (6)'!C13+'6a.melléklet (6)'!F13+'6a.melléklet (6)'!I13+'6a.melléklet (6)'!L13+'6a.melléklet (7)'!C13+'6a.melléklet (7)'!F13+'6a.melléklet (7)'!I13+'6a.melléklet (7)'!L13+'6a.melléklet (8)'!C13+'6a.melléklet (8)'!F13+'6a.melléklet (8)'!I13+'6a.melléklet (8)'!L13+'6a.melléklet (9)'!C13+'6a.melléklet (9)'!F13+'6a.melléklet (9)'!I13+'6a.melléklet (9)'!L13+'6a.melléklet (10)'!C13+'6a.melléklet (10)'!F13+'6a.melléklet (10)'!I13</f>
        <v>117983</v>
      </c>
      <c r="M13" s="42">
        <f>'6a.melléklet (1)'!D13+'6a.melléklet (1)'!G13+'6a.melléklet (1)'!J13+'6a.melléklet (1)'!M13+'6a.melléklet (2)'!D13+'6a.melléklet (2)'!G13+'6a.melléklet (2)'!J13+'6a.melléklet (2)'!M13+'6a.melléklet (3)'!D13+'6a.melléklet (3)'!G13+'6a.melléklet (3)'!J13+'6a.melléklet (3)'!M13+'6a.melléklet (4)'!D13+'6a.melléklet (4)'!G13+'6a.melléklet (4)'!J13+'6a.melléklet (4)'!M13+'6a.melléklet (5)'!D13+'6a.melléklet (5)'!G13+'6a.melléklet (5)'!J13+'6a.melléklet (5)'!M13+'6a.melléklet (6)'!D13+'6a.melléklet (6)'!G13+'6a.melléklet (6)'!J13+'6a.melléklet (6)'!M13+'6a.melléklet (7)'!D13+'6a.melléklet (7)'!G13+'6a.melléklet (7)'!J13+'6a.melléklet (7)'!M13+'6a.melléklet (8)'!D13+'6a.melléklet (8)'!G13+'6a.melléklet (8)'!J13+'6a.melléklet (8)'!M13+'6a.melléklet (9)'!D13+'6a.melléklet (9)'!G13+'6a.melléklet (9)'!J13+'6a.melléklet (9)'!M13+'6a.melléklet (10)'!D13+'6a.melléklet (10)'!G13+'6a.melléklet (10)'!J13</f>
        <v>3778178</v>
      </c>
    </row>
    <row r="14" spans="1:13" ht="12.75">
      <c r="A14" s="158" t="s">
        <v>374</v>
      </c>
      <c r="B14" s="42">
        <v>21671</v>
      </c>
      <c r="C14" s="42">
        <f>89+9+41+4+340+35+-1+41+4</f>
        <v>562</v>
      </c>
      <c r="D14" s="42">
        <f>SUM(B14:C14)</f>
        <v>22233</v>
      </c>
      <c r="E14" s="42">
        <v>63468</v>
      </c>
      <c r="F14" s="42">
        <f>88+1897+8+196</f>
        <v>2189</v>
      </c>
      <c r="G14" s="42">
        <f>SUM(E14:F14)</f>
        <v>65657</v>
      </c>
      <c r="H14" s="511">
        <v>58674</v>
      </c>
      <c r="I14" s="158">
        <f>5+87+1069+11+1+9+112+-1+1+10</f>
        <v>1304</v>
      </c>
      <c r="J14" s="511">
        <f>SUM(H14:I14)</f>
        <v>59978</v>
      </c>
      <c r="K14" s="42">
        <f>'6a.melléklet (1)'!B14+'6a.melléklet (1)'!E14+'6a.melléklet (1)'!H14+'6a.melléklet (1)'!K14+'6a.melléklet (2)'!B14+'6a.melléklet (2)'!E14+'6a.melléklet (2)'!H14+'6a.melléklet (2)'!K14+'6a.melléklet (3)'!B14+'6a.melléklet (3)'!E14+'6a.melléklet (3)'!H14+'6a.melléklet (3)'!K14+'6a.melléklet (4)'!B14+'6a.melléklet (4)'!E14+'6a.melléklet (4)'!H14+'6a.melléklet (4)'!K14+'6a.melléklet (5)'!B14+'6a.melléklet (5)'!E14+'6a.melléklet (5)'!H14+'6a.melléklet (5)'!K14+'6a.melléklet (6)'!B14+'6a.melléklet (6)'!E14+'6a.melléklet (6)'!H14+'6a.melléklet (6)'!K14+'6a.melléklet (7)'!B14+'6a.melléklet (7)'!E14+'6a.melléklet (7)'!H14+'6a.melléklet (7)'!K14+'6a.melléklet (8)'!B14+'6a.melléklet (8)'!E14+'6a.melléklet (8)'!H14+'6a.melléklet (8)'!K14+'6a.melléklet (9)'!B14+'6a.melléklet (9)'!E14+'6a.melléklet (9)'!H14+'6a.melléklet (9)'!K14+'6a.melléklet (10)'!B14+'6a.melléklet (10)'!E14+'6a.melléklet (10)'!H14</f>
        <v>1168840</v>
      </c>
      <c r="L14" s="42">
        <f>'6a.melléklet (1)'!C14+'6a.melléklet (1)'!F14+'6a.melléklet (1)'!I14+'6a.melléklet (1)'!L14+'6a.melléklet (2)'!C14+'6a.melléklet (2)'!F14+'6a.melléklet (2)'!I14+'6a.melléklet (2)'!L14+'6a.melléklet (3)'!C14+'6a.melléklet (3)'!F14+'6a.melléklet (3)'!I14+'6a.melléklet (3)'!L14+'6a.melléklet (4)'!C14+'6a.melléklet (4)'!F14+'6a.melléklet (4)'!I14+'6a.melléklet (4)'!L14+'6a.melléklet (5)'!C14+'6a.melléklet (5)'!F14+'6a.melléklet (5)'!I14+'6a.melléklet (5)'!L14+'6a.melléklet (6)'!C14+'6a.melléklet (6)'!F14+'6a.melléklet (6)'!I14+'6a.melléklet (6)'!L14+'6a.melléklet (7)'!C14+'6a.melléklet (7)'!F14+'6a.melléklet (7)'!I14+'6a.melléklet (7)'!L14+'6a.melléklet (8)'!C14+'6a.melléklet (8)'!F14+'6a.melléklet (8)'!I14+'6a.melléklet (8)'!L14+'6a.melléklet (9)'!C14+'6a.melléklet (9)'!F14+'6a.melléklet (9)'!I14+'6a.melléklet (9)'!L14+'6a.melléklet (10)'!C14+'6a.melléklet (10)'!F14+'6a.melléklet (10)'!I14</f>
        <v>37824</v>
      </c>
      <c r="M14" s="42">
        <f>'6a.melléklet (1)'!D14+'6a.melléklet (1)'!G14+'6a.melléklet (1)'!J14+'6a.melléklet (1)'!M14+'6a.melléklet (2)'!D14+'6a.melléklet (2)'!G14+'6a.melléklet (2)'!J14+'6a.melléklet (2)'!M14+'6a.melléklet (3)'!D14+'6a.melléklet (3)'!G14+'6a.melléklet (3)'!J14+'6a.melléklet (3)'!M14+'6a.melléklet (4)'!D14+'6a.melléklet (4)'!G14+'6a.melléklet (4)'!J14+'6a.melléklet (4)'!M14+'6a.melléklet (5)'!D14+'6a.melléklet (5)'!G14+'6a.melléklet (5)'!J14+'6a.melléklet (5)'!M14+'6a.melléklet (6)'!D14+'6a.melléklet (6)'!G14+'6a.melléklet (6)'!J14+'6a.melléklet (6)'!M14+'6a.melléklet (7)'!D14+'6a.melléklet (7)'!G14+'6a.melléklet (7)'!J14+'6a.melléklet (7)'!M14+'6a.melléklet (8)'!D14+'6a.melléklet (8)'!G14+'6a.melléklet (8)'!J14+'6a.melléklet (8)'!M14+'6a.melléklet (9)'!D14+'6a.melléklet (9)'!G14+'6a.melléklet (9)'!J14+'6a.melléklet (9)'!M14+'6a.melléklet (10)'!D14+'6a.melléklet (10)'!G14+'6a.melléklet (10)'!J14</f>
        <v>1206664</v>
      </c>
    </row>
    <row r="15" spans="1:13" ht="12.75">
      <c r="A15" s="158" t="s">
        <v>375</v>
      </c>
      <c r="B15" s="42">
        <v>69990</v>
      </c>
      <c r="C15" s="42">
        <f>273+322+39-10+1642</f>
        <v>2266</v>
      </c>
      <c r="D15" s="42">
        <f>SUM(B15:C15)</f>
        <v>72256</v>
      </c>
      <c r="E15" s="42">
        <v>88146</v>
      </c>
      <c r="F15" s="42">
        <f>-1226+404+750</f>
        <v>-72</v>
      </c>
      <c r="G15" s="42">
        <f>SUM(E15:F15)</f>
        <v>88074</v>
      </c>
      <c r="H15" s="511">
        <v>113364</v>
      </c>
      <c r="I15" s="158">
        <f>-613-382+9000+1400-297-200-58-33-78-350+468-4482</f>
        <v>4375</v>
      </c>
      <c r="J15" s="511">
        <f>SUM(H15:I15)</f>
        <v>117739</v>
      </c>
      <c r="K15" s="42">
        <f>'6a.melléklet (1)'!B15+'6a.melléklet (1)'!E15+'6a.melléklet (1)'!H15+'6a.melléklet (1)'!K15+'6a.melléklet (2)'!B15+'6a.melléklet (2)'!E15+'6a.melléklet (2)'!H15+'6a.melléklet (2)'!K15+'6a.melléklet (3)'!B15+'6a.melléklet (3)'!E15+'6a.melléklet (3)'!H15+'6a.melléklet (3)'!K15+'6a.melléklet (4)'!B15+'6a.melléklet (4)'!E15+'6a.melléklet (4)'!H15+'6a.melléklet (4)'!K15+'6a.melléklet (5)'!B15+'6a.melléklet (5)'!E15+'6a.melléklet (5)'!H15+'6a.melléklet (5)'!K15+'6a.melléklet (6)'!B15+'6a.melléklet (6)'!E15+'6a.melléklet (6)'!H15+'6a.melléklet (6)'!K15+'6a.melléklet (7)'!B15+'6a.melléklet (7)'!E15+'6a.melléklet (7)'!H15+'6a.melléklet (7)'!K15+'6a.melléklet (8)'!B15+'6a.melléklet (8)'!E15+'6a.melléklet (8)'!H15+'6a.melléklet (8)'!K15+'6a.melléklet (9)'!B15+'6a.melléklet (9)'!E15+'6a.melléklet (9)'!H15+'6a.melléklet (9)'!K15+'6a.melléklet (10)'!B15+'6a.melléklet (10)'!E15+'6a.melléklet (10)'!H15</f>
        <v>1630591</v>
      </c>
      <c r="L15" s="42">
        <f>'6a.melléklet (1)'!C15+'6a.melléklet (1)'!F15+'6a.melléklet (1)'!I15+'6a.melléklet (1)'!L15+'6a.melléklet (2)'!C15+'6a.melléklet (2)'!F15+'6a.melléklet (2)'!I15+'6a.melléklet (2)'!L15+'6a.melléklet (3)'!C15+'6a.melléklet (3)'!F15+'6a.melléklet (3)'!I15+'6a.melléklet (3)'!L15+'6a.melléklet (4)'!C15+'6a.melléklet (4)'!F15+'6a.melléklet (4)'!I15+'6a.melléklet (4)'!L15+'6a.melléklet (5)'!C15+'6a.melléklet (5)'!F15+'6a.melléklet (5)'!I15+'6a.melléklet (5)'!L15+'6a.melléklet (6)'!C15+'6a.melléklet (6)'!F15+'6a.melléklet (6)'!I15+'6a.melléklet (6)'!L15+'6a.melléklet (7)'!C15+'6a.melléklet (7)'!F15+'6a.melléklet (7)'!I15+'6a.melléklet (7)'!L15+'6a.melléklet (8)'!C15+'6a.melléklet (8)'!F15+'6a.melléklet (8)'!I15+'6a.melléklet (8)'!L15+'6a.melléklet (9)'!C15+'6a.melléklet (9)'!F15+'6a.melléklet (9)'!I15+'6a.melléklet (9)'!L15+'6a.melléklet (10)'!C15+'6a.melléklet (10)'!F15+'6a.melléklet (10)'!I15</f>
        <v>54750</v>
      </c>
      <c r="M15" s="42">
        <f>'6a.melléklet (1)'!D15+'6a.melléklet (1)'!G15+'6a.melléklet (1)'!J15+'6a.melléklet (1)'!M15+'6a.melléklet (2)'!D15+'6a.melléklet (2)'!G15+'6a.melléklet (2)'!J15+'6a.melléklet (2)'!M15+'6a.melléklet (3)'!D15+'6a.melléklet (3)'!G15+'6a.melléklet (3)'!J15+'6a.melléklet (3)'!M15+'6a.melléklet (4)'!D15+'6a.melléklet (4)'!G15+'6a.melléklet (4)'!J15+'6a.melléklet (4)'!M15+'6a.melléklet (5)'!D15+'6a.melléklet (5)'!G15+'6a.melléklet (5)'!J15+'6a.melléklet (5)'!M15+'6a.melléklet (6)'!D15+'6a.melléklet (6)'!G15+'6a.melléklet (6)'!J15+'6a.melléklet (6)'!M15+'6a.melléklet (7)'!D15+'6a.melléklet (7)'!G15+'6a.melléklet (7)'!J15+'6a.melléklet (7)'!M15+'6a.melléklet (8)'!D15+'6a.melléklet (8)'!G15+'6a.melléklet (8)'!J15+'6a.melléklet (8)'!M15+'6a.melléklet (9)'!D15+'6a.melléklet (9)'!G15+'6a.melléklet (9)'!J15+'6a.melléklet (9)'!M15+'6a.melléklet (10)'!D15+'6a.melléklet (10)'!G15+'6a.melléklet (10)'!J15</f>
        <v>1685341</v>
      </c>
    </row>
    <row r="16" spans="1:13" ht="22.5">
      <c r="A16" s="829" t="s">
        <v>281</v>
      </c>
      <c r="C16" s="42"/>
      <c r="D16" s="42"/>
      <c r="E16" s="42"/>
      <c r="F16" s="42"/>
      <c r="G16" s="42"/>
      <c r="H16" s="829">
        <v>109231</v>
      </c>
      <c r="I16" s="829"/>
      <c r="J16" s="511">
        <f>SUM(H16:I16)</f>
        <v>109231</v>
      </c>
      <c r="K16" s="42">
        <f>'6a.melléklet (1)'!B16+'6a.melléklet (1)'!E16+'6a.melléklet (1)'!H16+'6a.melléklet (1)'!K16+'6a.melléklet (2)'!B16+'6a.melléklet (2)'!E16+'6a.melléklet (2)'!H16+'6a.melléklet (2)'!K16+'6a.melléklet (3)'!B16+'6a.melléklet (3)'!E16+'6a.melléklet (3)'!H16+'6a.melléklet (3)'!K16+'6a.melléklet (4)'!B16+'6a.melléklet (4)'!E16+'6a.melléklet (4)'!H16+'6a.melléklet (4)'!K16+'6a.melléklet (5)'!B16+'6a.melléklet (5)'!E16+'6a.melléklet (5)'!H16+'6a.melléklet (5)'!K16+'6a.melléklet (6)'!B16+'6a.melléklet (6)'!E16+'6a.melléklet (6)'!H16+'6a.melléklet (6)'!K16+'6a.melléklet (7)'!B16+'6a.melléklet (7)'!E16+'6a.melléklet (7)'!H16+'6a.melléklet (7)'!K16+'6a.melléklet (8)'!B16+'6a.melléklet (8)'!E16+'6a.melléklet (8)'!H16+'6a.melléklet (8)'!K16+'6a.melléklet (9)'!B16+'6a.melléklet (9)'!E16+'6a.melléklet (9)'!H16+'6a.melléklet (9)'!K16+'6a.melléklet (10)'!B16+'6a.melléklet (10)'!E16+'6a.melléklet (10)'!H16</f>
        <v>109231</v>
      </c>
      <c r="L16" s="42">
        <f>'6a.melléklet (1)'!C16+'6a.melléklet (1)'!F16+'6a.melléklet (1)'!I16+'6a.melléklet (1)'!L16+'6a.melléklet (2)'!C16+'6a.melléklet (2)'!F16+'6a.melléklet (2)'!I16+'6a.melléklet (2)'!L16+'6a.melléklet (3)'!C16+'6a.melléklet (3)'!F16+'6a.melléklet (3)'!I16+'6a.melléklet (3)'!L16+'6a.melléklet (4)'!C16+'6a.melléklet (4)'!F16+'6a.melléklet (4)'!I16+'6a.melléklet (4)'!L16+'6a.melléklet (5)'!C16+'6a.melléklet (5)'!F16+'6a.melléklet (5)'!I16+'6a.melléklet (5)'!L16+'6a.melléklet (6)'!C16+'6a.melléklet (6)'!F16+'6a.melléklet (6)'!I16+'6a.melléklet (6)'!L16+'6a.melléklet (7)'!C16+'6a.melléklet (7)'!F16+'6a.melléklet (7)'!I16+'6a.melléklet (7)'!L16+'6a.melléklet (8)'!C16+'6a.melléklet (8)'!F16+'6a.melléklet (8)'!I16+'6a.melléklet (8)'!L16+'6a.melléklet (9)'!C16+'6a.melléklet (9)'!F16+'6a.melléklet (9)'!I16+'6a.melléklet (9)'!L16+'6a.melléklet (10)'!C16+'6a.melléklet (10)'!F16+'6a.melléklet (10)'!I16</f>
        <v>0</v>
      </c>
      <c r="M16" s="42">
        <f>'6a.melléklet (1)'!D16+'6a.melléklet (1)'!G16+'6a.melléklet (1)'!J16+'6a.melléklet (1)'!M16+'6a.melléklet (2)'!D16+'6a.melléklet (2)'!G16+'6a.melléklet (2)'!J16+'6a.melléklet (2)'!M16+'6a.melléklet (3)'!D16+'6a.melléklet (3)'!G16+'6a.melléklet (3)'!J16+'6a.melléklet (3)'!M16+'6a.melléklet (4)'!D16+'6a.melléklet (4)'!G16+'6a.melléklet (4)'!J16+'6a.melléklet (4)'!M16+'6a.melléklet (5)'!D16+'6a.melléklet (5)'!G16+'6a.melléklet (5)'!J16+'6a.melléklet (5)'!M16+'6a.melléklet (6)'!D16+'6a.melléklet (6)'!G16+'6a.melléklet (6)'!J16+'6a.melléklet (6)'!M16+'6a.melléklet (7)'!D16+'6a.melléklet (7)'!G16+'6a.melléklet (7)'!J16+'6a.melléklet (7)'!M16+'6a.melléklet (8)'!D16+'6a.melléklet (8)'!G16+'6a.melléklet (8)'!J16+'6a.melléklet (8)'!M16+'6a.melléklet (9)'!D16+'6a.melléklet (9)'!G16+'6a.melléklet (9)'!J16+'6a.melléklet (9)'!M16+'6a.melléklet (10)'!D16+'6a.melléklet (10)'!G16+'6a.melléklet (10)'!J16</f>
        <v>109231</v>
      </c>
    </row>
    <row r="17" spans="1:13" ht="12.75">
      <c r="A17" s="158" t="s">
        <v>665</v>
      </c>
      <c r="B17" s="42"/>
      <c r="C17" s="42"/>
      <c r="D17" s="42"/>
      <c r="E17" s="42"/>
      <c r="F17" s="42"/>
      <c r="G17" s="42"/>
      <c r="H17" s="42"/>
      <c r="I17" s="42"/>
      <c r="J17" s="511">
        <f>SUM(H17:I17)</f>
        <v>0</v>
      </c>
      <c r="K17" s="42">
        <f>'6a.melléklet (1)'!B17+'6a.melléklet (1)'!E17+'6a.melléklet (1)'!H17+'6a.melléklet (1)'!K17+'6a.melléklet (2)'!B17+'6a.melléklet (2)'!E17+'6a.melléklet (2)'!H17+'6a.melléklet (2)'!K17+'6a.melléklet (3)'!B17+'6a.melléklet (3)'!E17+'6a.melléklet (3)'!H17+'6a.melléklet (3)'!K17+'6a.melléklet (4)'!B17+'6a.melléklet (4)'!E17+'6a.melléklet (4)'!H17+'6a.melléklet (4)'!K17+'6a.melléklet (5)'!B17+'6a.melléklet (5)'!E17+'6a.melléklet (5)'!H17+'6a.melléklet (5)'!K17+'6a.melléklet (6)'!B17+'6a.melléklet (6)'!E17+'6a.melléklet (6)'!H17+'6a.melléklet (6)'!K17+'6a.melléklet (7)'!B17+'6a.melléklet (7)'!E17+'6a.melléklet (7)'!H17+'6a.melléklet (7)'!K17+'6a.melléklet (8)'!B17+'6a.melléklet (8)'!E17+'6a.melléklet (8)'!H17+'6a.melléklet (8)'!K17+'6a.melléklet (9)'!B17+'6a.melléklet (9)'!E17+'6a.melléklet (9)'!H17+'6a.melléklet (9)'!K17+'6a.melléklet (10)'!B17+'6a.melléklet (10)'!E17+'6a.melléklet (10)'!H17</f>
        <v>910</v>
      </c>
      <c r="L17" s="42">
        <f>'6a.melléklet (1)'!C17+'6a.melléklet (1)'!F17+'6a.melléklet (1)'!I17+'6a.melléklet (1)'!L17+'6a.melléklet (2)'!C17+'6a.melléklet (2)'!F17+'6a.melléklet (2)'!I17+'6a.melléklet (2)'!L17+'6a.melléklet (3)'!C17+'6a.melléklet (3)'!F17+'6a.melléklet (3)'!I17+'6a.melléklet (3)'!L17+'6a.melléklet (4)'!C17+'6a.melléklet (4)'!F17+'6a.melléklet (4)'!I17+'6a.melléklet (4)'!L17+'6a.melléklet (5)'!C17+'6a.melléklet (5)'!F17+'6a.melléklet (5)'!I17+'6a.melléklet (5)'!L17+'6a.melléklet (6)'!C17+'6a.melléklet (6)'!F17+'6a.melléklet (6)'!I17+'6a.melléklet (6)'!L17+'6a.melléklet (7)'!C17+'6a.melléklet (7)'!F17+'6a.melléklet (7)'!I17+'6a.melléklet (7)'!L17+'6a.melléklet (8)'!C17+'6a.melléklet (8)'!F17+'6a.melléklet (8)'!I17+'6a.melléklet (8)'!L17+'6a.melléklet (9)'!C17+'6a.melléklet (9)'!F17+'6a.melléklet (9)'!I17+'6a.melléklet (9)'!L17+'6a.melléklet (10)'!C17+'6a.melléklet (10)'!F17+'6a.melléklet (10)'!I17</f>
        <v>0</v>
      </c>
      <c r="M17" s="42">
        <f>'6a.melléklet (1)'!D17+'6a.melléklet (1)'!G17+'6a.melléklet (1)'!J17+'6a.melléklet (1)'!M17+'6a.melléklet (2)'!D17+'6a.melléklet (2)'!G17+'6a.melléklet (2)'!J17+'6a.melléklet (2)'!M17+'6a.melléklet (3)'!D17+'6a.melléklet (3)'!G17+'6a.melléklet (3)'!J17+'6a.melléklet (3)'!M17+'6a.melléklet (4)'!D17+'6a.melléklet (4)'!G17+'6a.melléklet (4)'!J17+'6a.melléklet (4)'!M17+'6a.melléklet (5)'!D17+'6a.melléklet (5)'!G17+'6a.melléklet (5)'!J17+'6a.melléklet (5)'!M17+'6a.melléklet (6)'!D17+'6a.melléklet (6)'!G17+'6a.melléklet (6)'!J17+'6a.melléklet (6)'!M17+'6a.melléklet (7)'!D17+'6a.melléklet (7)'!G17+'6a.melléklet (7)'!J17+'6a.melléklet (7)'!M17+'6a.melléklet (8)'!D17+'6a.melléklet (8)'!G17+'6a.melléklet (8)'!J17+'6a.melléklet (8)'!M17+'6a.melléklet (9)'!D17+'6a.melléklet (9)'!G17+'6a.melléklet (9)'!J17+'6a.melléklet (9)'!M17+'6a.melléklet (10)'!D17+'6a.melléklet (10)'!G17+'6a.melléklet (10)'!J17</f>
        <v>910</v>
      </c>
    </row>
    <row r="18" spans="1:13" s="825" customFormat="1" ht="12.75">
      <c r="A18" s="160" t="s">
        <v>376</v>
      </c>
      <c r="B18" s="37">
        <f aca="true" t="shared" si="0" ref="B18:M18">SUM(B13:B17)</f>
        <v>162253</v>
      </c>
      <c r="C18" s="37">
        <f t="shared" si="0"/>
        <v>4592</v>
      </c>
      <c r="D18" s="37">
        <f t="shared" si="0"/>
        <v>166845</v>
      </c>
      <c r="E18" s="37">
        <f t="shared" si="0"/>
        <v>342764</v>
      </c>
      <c r="F18" s="37">
        <f t="shared" si="0"/>
        <v>8958</v>
      </c>
      <c r="G18" s="37">
        <f t="shared" si="0"/>
        <v>351722</v>
      </c>
      <c r="H18" s="37">
        <f t="shared" si="0"/>
        <v>482968</v>
      </c>
      <c r="I18" s="37">
        <f t="shared" si="0"/>
        <v>9709</v>
      </c>
      <c r="J18" s="37">
        <f t="shared" si="0"/>
        <v>492677</v>
      </c>
      <c r="K18" s="37">
        <f t="shared" si="0"/>
        <v>6569767</v>
      </c>
      <c r="L18" s="37">
        <f t="shared" si="0"/>
        <v>210557</v>
      </c>
      <c r="M18" s="37">
        <f t="shared" si="0"/>
        <v>6780324</v>
      </c>
    </row>
    <row r="19" spans="1:13" ht="12.75">
      <c r="A19" s="158" t="s">
        <v>423</v>
      </c>
      <c r="B19" s="42">
        <v>38471</v>
      </c>
      <c r="C19" s="42">
        <f>83+2000+1889</f>
        <v>3972</v>
      </c>
      <c r="D19" s="42">
        <f>SUM(B19:C19)</f>
        <v>42443</v>
      </c>
      <c r="E19" s="42">
        <v>33495</v>
      </c>
      <c r="F19" s="42">
        <f>39-196-8-9+20000+15000</f>
        <v>34826</v>
      </c>
      <c r="G19" s="42">
        <f>SUM(E19:F19)</f>
        <v>68321</v>
      </c>
      <c r="H19" s="42">
        <v>53800</v>
      </c>
      <c r="I19" s="42">
        <f>+-588-38-1642-312-23+6250-2407</f>
        <v>1240</v>
      </c>
      <c r="J19" s="42">
        <f>SUM(H19:I19)</f>
        <v>55040</v>
      </c>
      <c r="K19" s="42">
        <f>'6a.melléklet (1)'!B19+'6a.melléklet (1)'!E19+'6a.melléklet (1)'!H19+'6a.melléklet (1)'!K19+'6a.melléklet (2)'!B19+'6a.melléklet (2)'!E19+'6a.melléklet (2)'!H19+'6a.melléklet (2)'!K19+'6a.melléklet (3)'!B19+'6a.melléklet (3)'!E19+'6a.melléklet (3)'!H19+'6a.melléklet (3)'!K19+'6a.melléklet (4)'!B19+'6a.melléklet (4)'!E19+'6a.melléklet (4)'!H19+'6a.melléklet (4)'!K19+'6a.melléklet (5)'!B19+'6a.melléklet (5)'!E19+'6a.melléklet (5)'!H19+'6a.melléklet (5)'!K19+'6a.melléklet (6)'!B19+'6a.melléklet (6)'!E19+'6a.melléklet (6)'!H19+'6a.melléklet (6)'!K19+'6a.melléklet (7)'!B19+'6a.melléklet (7)'!E19+'6a.melléklet (7)'!H19+'6a.melléklet (7)'!K19+'6a.melléklet (8)'!B19+'6a.melléklet (8)'!E19+'6a.melléklet (8)'!H19+'6a.melléklet (8)'!K19+'6a.melléklet (9)'!B19+'6a.melléklet (9)'!E19+'6a.melléklet (9)'!H19+'6a.melléklet (9)'!K19+'6a.melléklet (10)'!B19+'6a.melléklet (10)'!E19+'6a.melléklet (10)'!H19</f>
        <v>470450</v>
      </c>
      <c r="L19" s="42">
        <f>'6a.melléklet (1)'!C19+'6a.melléklet (1)'!F19+'6a.melléklet (1)'!I19+'6a.melléklet (1)'!L19+'6a.melléklet (2)'!C19+'6a.melléklet (2)'!F19+'6a.melléklet (2)'!I19+'6a.melléklet (2)'!L19+'6a.melléklet (3)'!C19+'6a.melléklet (3)'!F19+'6a.melléklet (3)'!I19+'6a.melléklet (3)'!L19+'6a.melléklet (4)'!C19+'6a.melléklet (4)'!F19+'6a.melléklet (4)'!I19+'6a.melléklet (4)'!L19+'6a.melléklet (5)'!C19+'6a.melléklet (5)'!F19+'6a.melléklet (5)'!I19+'6a.melléklet (5)'!L19+'6a.melléklet (6)'!C19+'6a.melléklet (6)'!F19+'6a.melléklet (6)'!I19+'6a.melléklet (6)'!L19+'6a.melléklet (7)'!C19+'6a.melléklet (7)'!F19+'6a.melléklet (7)'!I19+'6a.melléklet (7)'!L19+'6a.melléklet (8)'!C19+'6a.melléklet (8)'!F19+'6a.melléklet (8)'!I19+'6a.melléklet (8)'!L19+'6a.melléklet (9)'!C19+'6a.melléklet (9)'!F19+'6a.melléklet (9)'!I19+'6a.melléklet (9)'!L19+'6a.melléklet (10)'!C19+'6a.melléklet (10)'!F19+'6a.melléklet (10)'!I19</f>
        <v>272118</v>
      </c>
      <c r="M19" s="42">
        <f>'6a.melléklet (1)'!D19+'6a.melléklet (1)'!G19+'6a.melléklet (1)'!J19+'6a.melléklet (1)'!M19+'6a.melléklet (2)'!D19+'6a.melléklet (2)'!G19+'6a.melléklet (2)'!J19+'6a.melléklet (2)'!M19+'6a.melléklet (3)'!D19+'6a.melléklet (3)'!G19+'6a.melléklet (3)'!J19+'6a.melléklet (3)'!M19+'6a.melléklet (4)'!D19+'6a.melléklet (4)'!G19+'6a.melléklet (4)'!J19+'6a.melléklet (4)'!M19+'6a.melléklet (5)'!D19+'6a.melléklet (5)'!G19+'6a.melléklet (5)'!J19+'6a.melléklet (5)'!M19+'6a.melléklet (6)'!D19+'6a.melléklet (6)'!G19+'6a.melléklet (6)'!J19+'6a.melléklet (6)'!M19+'6a.melléklet (7)'!D19+'6a.melléklet (7)'!G19+'6a.melléklet (7)'!J19+'6a.melléklet (7)'!M19+'6a.melléklet (8)'!D19+'6a.melléklet (8)'!G19+'6a.melléklet (8)'!J19+'6a.melléklet (8)'!M19+'6a.melléklet (9)'!D19+'6a.melléklet (9)'!G19+'6a.melléklet (9)'!J19+'6a.melléklet (9)'!M19+'6a.melléklet (10)'!D19+'6a.melléklet (10)'!G19+'6a.melléklet (10)'!J19</f>
        <v>742568</v>
      </c>
    </row>
    <row r="20" spans="1:13" ht="12.75">
      <c r="A20" s="158" t="s">
        <v>424</v>
      </c>
      <c r="B20" s="42">
        <v>2946</v>
      </c>
      <c r="C20" s="42">
        <f>10</f>
        <v>10</v>
      </c>
      <c r="D20" s="42">
        <f>SUM(B20:C20)</f>
        <v>2956</v>
      </c>
      <c r="E20" s="42">
        <v>3088</v>
      </c>
      <c r="F20" s="42">
        <v>1226</v>
      </c>
      <c r="G20" s="42">
        <f>SUM(E20:F20)</f>
        <v>4314</v>
      </c>
      <c r="H20" s="42">
        <v>393</v>
      </c>
      <c r="I20" s="42">
        <f>613+382</f>
        <v>995</v>
      </c>
      <c r="J20" s="42">
        <f>SUM(H20:I20)</f>
        <v>1388</v>
      </c>
      <c r="K20" s="42">
        <f>'6a.melléklet (1)'!B20+'6a.melléklet (1)'!E20+'6a.melléklet (1)'!H20+'6a.melléklet (1)'!K20+'6a.melléklet (2)'!B20+'6a.melléklet (2)'!E20+'6a.melléklet (2)'!H20+'6a.melléklet (2)'!K20+'6a.melléklet (3)'!B20+'6a.melléklet (3)'!E20+'6a.melléklet (3)'!H20+'6a.melléklet (3)'!K20+'6a.melléklet (4)'!B20+'6a.melléklet (4)'!E20+'6a.melléklet (4)'!H20+'6a.melléklet (4)'!K20+'6a.melléklet (5)'!B20+'6a.melléklet (5)'!E20+'6a.melléklet (5)'!H20+'6a.melléklet (5)'!K20+'6a.melléklet (6)'!B20+'6a.melléklet (6)'!E20+'6a.melléklet (6)'!H20+'6a.melléklet (6)'!K20+'6a.melléklet (7)'!B20+'6a.melléklet (7)'!E20+'6a.melléklet (7)'!H20+'6a.melléklet (7)'!K20+'6a.melléklet (8)'!B20+'6a.melléklet (8)'!E20+'6a.melléklet (8)'!H20+'6a.melléklet (8)'!K20+'6a.melléklet (9)'!B20+'6a.melléklet (9)'!E20+'6a.melléklet (9)'!H20+'6a.melléklet (9)'!K20+'6a.melléklet (10)'!B20+'6a.melléklet (10)'!E20+'6a.melléklet (10)'!H20</f>
        <v>25226</v>
      </c>
      <c r="L20" s="42">
        <f>'6a.melléklet (1)'!C20+'6a.melléklet (1)'!F20+'6a.melléklet (1)'!I20+'6a.melléklet (1)'!L20+'6a.melléklet (2)'!C20+'6a.melléklet (2)'!F20+'6a.melléklet (2)'!I20+'6a.melléklet (2)'!L20+'6a.melléklet (3)'!C20+'6a.melléklet (3)'!F20+'6a.melléklet (3)'!I20+'6a.melléklet (3)'!L20+'6a.melléklet (4)'!C20+'6a.melléklet (4)'!F20+'6a.melléklet (4)'!I20+'6a.melléklet (4)'!L20+'6a.melléklet (5)'!C20+'6a.melléklet (5)'!F20+'6a.melléklet (5)'!I20+'6a.melléklet (5)'!L20+'6a.melléklet (6)'!C20+'6a.melléklet (6)'!F20+'6a.melléklet (6)'!I20+'6a.melléklet (6)'!L20+'6a.melléklet (7)'!C20+'6a.melléklet (7)'!F20+'6a.melléklet (7)'!I20+'6a.melléklet (7)'!L20+'6a.melléklet (8)'!C20+'6a.melléklet (8)'!F20+'6a.melléklet (8)'!I20+'6a.melléklet (8)'!L20+'6a.melléklet (9)'!C20+'6a.melléklet (9)'!F20+'6a.melléklet (9)'!I20+'6a.melléklet (9)'!L20+'6a.melléklet (10)'!C20+'6a.melléklet (10)'!F20+'6a.melléklet (10)'!I20</f>
        <v>15665</v>
      </c>
      <c r="M20" s="42">
        <f>'6a.melléklet (1)'!D20+'6a.melléklet (1)'!G20+'6a.melléklet (1)'!J20+'6a.melléklet (1)'!M20+'6a.melléklet (2)'!D20+'6a.melléklet (2)'!G20+'6a.melléklet (2)'!J20+'6a.melléklet (2)'!M20+'6a.melléklet (3)'!D20+'6a.melléklet (3)'!G20+'6a.melléklet (3)'!J20+'6a.melléklet (3)'!M20+'6a.melléklet (4)'!D20+'6a.melléklet (4)'!G20+'6a.melléklet (4)'!J20+'6a.melléklet (4)'!M20+'6a.melléklet (5)'!D20+'6a.melléklet (5)'!G20+'6a.melléklet (5)'!J20+'6a.melléklet (5)'!M20+'6a.melléklet (6)'!D20+'6a.melléklet (6)'!G20+'6a.melléklet (6)'!J20+'6a.melléklet (6)'!M20+'6a.melléklet (7)'!D20+'6a.melléklet (7)'!G20+'6a.melléklet (7)'!J20+'6a.melléklet (7)'!M20+'6a.melléklet (8)'!D20+'6a.melléklet (8)'!G20+'6a.melléklet (8)'!J20+'6a.melléklet (8)'!M20+'6a.melléklet (9)'!D20+'6a.melléklet (9)'!G20+'6a.melléklet (9)'!J20+'6a.melléklet (9)'!M20+'6a.melléklet (10)'!D20+'6a.melléklet (10)'!G20+'6a.melléklet (10)'!J20</f>
        <v>40891</v>
      </c>
    </row>
    <row r="21" spans="1:13" ht="22.5">
      <c r="A21" s="829" t="s">
        <v>422</v>
      </c>
      <c r="B21" s="42"/>
      <c r="C21" s="42"/>
      <c r="D21" s="42">
        <f>SUM(B21:C21)</f>
        <v>0</v>
      </c>
      <c r="E21" s="42"/>
      <c r="F21" s="42"/>
      <c r="G21" s="42">
        <f>SUM(E21:F21)</f>
        <v>0</v>
      </c>
      <c r="H21" s="42">
        <v>22484</v>
      </c>
      <c r="I21" s="42"/>
      <c r="J21" s="42">
        <f>SUM(H21:I21)</f>
        <v>22484</v>
      </c>
      <c r="K21" s="42">
        <f>'6a.melléklet (1)'!B21+'6a.melléklet (1)'!E21+'6a.melléklet (1)'!H21+'6a.melléklet (1)'!K21+'6a.melléklet (2)'!B21+'6a.melléklet (2)'!E21+'6a.melléklet (2)'!H21+'6a.melléklet (2)'!K21+'6a.melléklet (3)'!B21+'6a.melléklet (3)'!E21+'6a.melléklet (3)'!H21+'6a.melléklet (3)'!K21+'6a.melléklet (4)'!B21+'6a.melléklet (4)'!E21+'6a.melléklet (4)'!H21+'6a.melléklet (4)'!K21+'6a.melléklet (5)'!B21+'6a.melléklet (5)'!E21+'6a.melléklet (5)'!H21+'6a.melléklet (5)'!K21+'6a.melléklet (6)'!B21+'6a.melléklet (6)'!E21+'6a.melléklet (6)'!H21+'6a.melléklet (6)'!K21+'6a.melléklet (7)'!B21+'6a.melléklet (7)'!E21+'6a.melléklet (7)'!H21+'6a.melléklet (7)'!K21+'6a.melléklet (8)'!B21+'6a.melléklet (8)'!E21+'6a.melléklet (8)'!H21+'6a.melléklet (8)'!K21+'6a.melléklet (9)'!B21+'6a.melléklet (9)'!E21+'6a.melléklet (9)'!H21+'6a.melléklet (9)'!K21+'6a.melléklet (10)'!B21+'6a.melléklet (10)'!E21+'6a.melléklet (10)'!H21</f>
        <v>22484</v>
      </c>
      <c r="L21" s="42">
        <f>'6a.melléklet (1)'!C21+'6a.melléklet (1)'!F21+'6a.melléklet (1)'!I21+'6a.melléklet (1)'!L21+'6a.melléklet (2)'!C21+'6a.melléklet (2)'!F21+'6a.melléklet (2)'!I21+'6a.melléklet (2)'!L21+'6a.melléklet (3)'!C21+'6a.melléklet (3)'!F21+'6a.melléklet (3)'!I21+'6a.melléklet (3)'!L21+'6a.melléklet (4)'!C21+'6a.melléklet (4)'!F21+'6a.melléklet (4)'!I21+'6a.melléklet (4)'!L21+'6a.melléklet (5)'!C21+'6a.melléklet (5)'!F21+'6a.melléklet (5)'!I21+'6a.melléklet (5)'!L21+'6a.melléklet (6)'!C21+'6a.melléklet (6)'!F21+'6a.melléklet (6)'!I21+'6a.melléklet (6)'!L21+'6a.melléklet (7)'!C21+'6a.melléklet (7)'!F21+'6a.melléklet (7)'!I21+'6a.melléklet (7)'!L21+'6a.melléklet (8)'!C21+'6a.melléklet (8)'!F21+'6a.melléklet (8)'!I21+'6a.melléklet (8)'!L21+'6a.melléklet (9)'!C21+'6a.melléklet (9)'!F21+'6a.melléklet (9)'!I21+'6a.melléklet (9)'!L21+'6a.melléklet (10)'!C21+'6a.melléklet (10)'!F21+'6a.melléklet (10)'!I21</f>
        <v>0</v>
      </c>
      <c r="M21" s="42">
        <f>'6a.melléklet (1)'!D21+'6a.melléklet (1)'!G21+'6a.melléklet (1)'!J21+'6a.melléklet (1)'!M21+'6a.melléklet (2)'!D21+'6a.melléklet (2)'!G21+'6a.melléklet (2)'!J21+'6a.melléklet (2)'!M21+'6a.melléklet (3)'!D21+'6a.melléklet (3)'!G21+'6a.melléklet (3)'!J21+'6a.melléklet (3)'!M21+'6a.melléklet (4)'!D21+'6a.melléklet (4)'!G21+'6a.melléklet (4)'!J21+'6a.melléklet (4)'!M21+'6a.melléklet (5)'!D21+'6a.melléklet (5)'!G21+'6a.melléklet (5)'!J21+'6a.melléklet (5)'!M21+'6a.melléklet (6)'!D21+'6a.melléklet (6)'!G21+'6a.melléklet (6)'!J21+'6a.melléklet (6)'!M21+'6a.melléklet (7)'!D21+'6a.melléklet (7)'!G21+'6a.melléklet (7)'!J21+'6a.melléklet (7)'!M21+'6a.melléklet (8)'!D21+'6a.melléklet (8)'!G21+'6a.melléklet (8)'!J21+'6a.melléklet (8)'!M21+'6a.melléklet (9)'!D21+'6a.melléklet (9)'!G21+'6a.melléklet (9)'!J21+'6a.melléklet (9)'!M21+'6a.melléklet (10)'!D21+'6a.melléklet (10)'!G21+'6a.melléklet (10)'!J21</f>
        <v>22484</v>
      </c>
    </row>
    <row r="22" spans="1:13" s="825" customFormat="1" ht="12.75">
      <c r="A22" s="160" t="s">
        <v>83</v>
      </c>
      <c r="B22" s="37">
        <f aca="true" t="shared" si="1" ref="B22:M22">SUM(B19:B21)</f>
        <v>41417</v>
      </c>
      <c r="C22" s="37">
        <f t="shared" si="1"/>
        <v>3982</v>
      </c>
      <c r="D22" s="37">
        <f t="shared" si="1"/>
        <v>45399</v>
      </c>
      <c r="E22" s="37">
        <f t="shared" si="1"/>
        <v>36583</v>
      </c>
      <c r="F22" s="37">
        <f t="shared" si="1"/>
        <v>36052</v>
      </c>
      <c r="G22" s="37">
        <f t="shared" si="1"/>
        <v>72635</v>
      </c>
      <c r="H22" s="37">
        <f t="shared" si="1"/>
        <v>76677</v>
      </c>
      <c r="I22" s="37">
        <f t="shared" si="1"/>
        <v>2235</v>
      </c>
      <c r="J22" s="37">
        <f t="shared" si="1"/>
        <v>78912</v>
      </c>
      <c r="K22" s="37">
        <f t="shared" si="1"/>
        <v>518160</v>
      </c>
      <c r="L22" s="37">
        <f t="shared" si="1"/>
        <v>287783</v>
      </c>
      <c r="M22" s="37">
        <f t="shared" si="1"/>
        <v>805943</v>
      </c>
    </row>
    <row r="23" spans="1:13" s="825" customFormat="1" ht="12.75">
      <c r="A23" s="162" t="s">
        <v>84</v>
      </c>
      <c r="B23" s="37">
        <f aca="true" t="shared" si="2" ref="B23:M23">SUM(B18+B22)</f>
        <v>203670</v>
      </c>
      <c r="C23" s="37">
        <f t="shared" si="2"/>
        <v>8574</v>
      </c>
      <c r="D23" s="37">
        <f t="shared" si="2"/>
        <v>212244</v>
      </c>
      <c r="E23" s="37">
        <f t="shared" si="2"/>
        <v>379347</v>
      </c>
      <c r="F23" s="37">
        <f t="shared" si="2"/>
        <v>45010</v>
      </c>
      <c r="G23" s="37">
        <f t="shared" si="2"/>
        <v>424357</v>
      </c>
      <c r="H23" s="37">
        <f t="shared" si="2"/>
        <v>559645</v>
      </c>
      <c r="I23" s="37">
        <f t="shared" si="2"/>
        <v>11944</v>
      </c>
      <c r="J23" s="37">
        <f t="shared" si="2"/>
        <v>571589</v>
      </c>
      <c r="K23" s="37">
        <f t="shared" si="2"/>
        <v>7087927</v>
      </c>
      <c r="L23" s="37">
        <f t="shared" si="2"/>
        <v>498340</v>
      </c>
      <c r="M23" s="37">
        <f t="shared" si="2"/>
        <v>7586267</v>
      </c>
    </row>
    <row r="24" spans="1:13" s="825" customFormat="1" ht="12.75">
      <c r="A24" s="160" t="s">
        <v>85</v>
      </c>
      <c r="B24" s="37"/>
      <c r="C24" s="37"/>
      <c r="D24" s="42"/>
      <c r="E24" s="37"/>
      <c r="F24" s="37"/>
      <c r="G24" s="42"/>
      <c r="H24" s="37"/>
      <c r="I24" s="37"/>
      <c r="J24" s="42"/>
      <c r="K24" s="42">
        <f>'6a.melléklet (1)'!B24+'6a.melléklet (1)'!E24+'6a.melléklet (1)'!H24+'6a.melléklet (1)'!K24+'6a.melléklet (2)'!B24+'6a.melléklet (2)'!E24+'6a.melléklet (2)'!H24+'6a.melléklet (2)'!K24+'6a.melléklet (3)'!B24+'6a.melléklet (3)'!E24+'6a.melléklet (3)'!H24+'6a.melléklet (3)'!K24+'6a.melléklet (4)'!B24+'6a.melléklet (4)'!E24+'6a.melléklet (4)'!H24+'6a.melléklet (4)'!K24+'6a.melléklet (5)'!B24+'6a.melléklet (5)'!E24+'6a.melléklet (5)'!H24+'6a.melléklet (5)'!K24+'6a.melléklet (6)'!B24+'6a.melléklet (6)'!E24+'6a.melléklet (6)'!H24+'6a.melléklet (6)'!K24+'6a.melléklet (7)'!B24+'6a.melléklet (7)'!E24+'6a.melléklet (7)'!H24+'6a.melléklet (7)'!K24+'6a.melléklet (8)'!B24+'6a.melléklet (8)'!E24+'6a.melléklet (8)'!H24+'6a.melléklet (8)'!K24+'6a.melléklet (9)'!B24+'6a.melléklet (9)'!E24+'6a.melléklet (9)'!H24+'6a.melléklet (9)'!K24+'6a.melléklet (10)'!B24+'6a.melléklet (10)'!E24+'6a.melléklet (10)'!H24</f>
        <v>0</v>
      </c>
      <c r="L24" s="42"/>
      <c r="M24" s="42"/>
    </row>
    <row r="25" spans="1:13" ht="24">
      <c r="A25" s="47" t="s">
        <v>282</v>
      </c>
      <c r="B25" s="42"/>
      <c r="C25" s="42"/>
      <c r="D25" s="42">
        <f aca="true" t="shared" si="3" ref="D25:D33">SUM(B25:C25)</f>
        <v>0</v>
      </c>
      <c r="E25" s="42"/>
      <c r="F25" s="42"/>
      <c r="G25" s="42">
        <f aca="true" t="shared" si="4" ref="G25:G33">SUM(E25:F25)</f>
        <v>0</v>
      </c>
      <c r="H25" s="42"/>
      <c r="I25" s="42"/>
      <c r="J25" s="42">
        <f aca="true" t="shared" si="5" ref="J25:J33">SUM(H25:I25)</f>
        <v>0</v>
      </c>
      <c r="K25" s="42">
        <f>'6a.melléklet (1)'!B25+'6a.melléklet (1)'!E25+'6a.melléklet (1)'!H25+'6a.melléklet (1)'!K25+'6a.melléklet (2)'!B25+'6a.melléklet (2)'!E25+'6a.melléklet (2)'!H25+'6a.melléklet (2)'!K25+'6a.melléklet (3)'!B25+'6a.melléklet (3)'!E25+'6a.melléklet (3)'!H25+'6a.melléklet (3)'!K25+'6a.melléklet (4)'!B25+'6a.melléklet (4)'!E25+'6a.melléklet (4)'!H25+'6a.melléklet (4)'!K25+'6a.melléklet (5)'!B25+'6a.melléklet (5)'!E25+'6a.melléklet (5)'!H25+'6a.melléklet (5)'!K25+'6a.melléklet (6)'!B25+'6a.melléklet (6)'!E25+'6a.melléklet (6)'!H25+'6a.melléklet (6)'!K25+'6a.melléklet (7)'!B25+'6a.melléklet (7)'!E25+'6a.melléklet (7)'!H25+'6a.melléklet (7)'!K25+'6a.melléklet (8)'!B25+'6a.melléklet (8)'!E25+'6a.melléklet (8)'!H25+'6a.melléklet (8)'!K25+'6a.melléklet (9)'!B25+'6a.melléklet (9)'!E25+'6a.melléklet (9)'!H25+'6a.melléklet (9)'!K25+'6a.melléklet (10)'!B25+'6a.melléklet (10)'!E25+'6a.melléklet (10)'!H25</f>
        <v>0</v>
      </c>
      <c r="L25" s="42">
        <f>'6a.melléklet (1)'!C25+'6a.melléklet (1)'!F25+'6a.melléklet (1)'!I25+'6a.melléklet (1)'!L25+'6a.melléklet (2)'!C25+'6a.melléklet (2)'!F25+'6a.melléklet (2)'!I25+'6a.melléklet (2)'!L25+'6a.melléklet (3)'!C25+'6a.melléklet (3)'!F25+'6a.melléklet (3)'!I25+'6a.melléklet (3)'!L25+'6a.melléklet (4)'!C25+'6a.melléklet (4)'!F25+'6a.melléklet (4)'!I25+'6a.melléklet (4)'!L25+'6a.melléklet (5)'!C25+'6a.melléklet (5)'!F25+'6a.melléklet (5)'!I25+'6a.melléklet (5)'!L25+'6a.melléklet (6)'!C25+'6a.melléklet (6)'!F25+'6a.melléklet (6)'!I25+'6a.melléklet (6)'!L25+'6a.melléklet (7)'!C25+'6a.melléklet (7)'!F25+'6a.melléklet (7)'!I25+'6a.melléklet (7)'!L25+'6a.melléklet (8)'!C25+'6a.melléklet (8)'!F25+'6a.melléklet (8)'!I25+'6a.melléklet (8)'!L25+'6a.melléklet (9)'!C25+'6a.melléklet (9)'!F25+'6a.melléklet (9)'!I25+'6a.melléklet (9)'!L25+'6a.melléklet (10)'!C25+'6a.melléklet (10)'!F25+'6a.melléklet (10)'!I25</f>
        <v>0</v>
      </c>
      <c r="M25" s="42">
        <f>'6a.melléklet (1)'!D25+'6a.melléklet (1)'!G25+'6a.melléklet (1)'!J25+'6a.melléklet (1)'!M25+'6a.melléklet (2)'!D25+'6a.melléklet (2)'!G25+'6a.melléklet (2)'!J25+'6a.melléklet (2)'!M25+'6a.melléklet (3)'!D25+'6a.melléklet (3)'!G25+'6a.melléklet (3)'!J25+'6a.melléklet (3)'!M25+'6a.melléklet (4)'!D25+'6a.melléklet (4)'!G25+'6a.melléklet (4)'!J25+'6a.melléklet (4)'!M25+'6a.melléklet (5)'!D25+'6a.melléklet (5)'!G25+'6a.melléklet (5)'!J25+'6a.melléklet (5)'!M25+'6a.melléklet (6)'!D25+'6a.melléklet (6)'!G25+'6a.melléklet (6)'!J25+'6a.melléklet (6)'!M25+'6a.melléklet (7)'!D25+'6a.melléklet (7)'!G25+'6a.melléklet (7)'!J25+'6a.melléklet (7)'!M25+'6a.melléklet (8)'!D25+'6a.melléklet (8)'!G25+'6a.melléklet (8)'!J25+'6a.melléklet (8)'!M25+'6a.melléklet (9)'!D25+'6a.melléklet (9)'!G25+'6a.melléklet (9)'!J25+'6a.melléklet (9)'!M25+'6a.melléklet (10)'!D25+'6a.melléklet (10)'!G25+'6a.melléklet (10)'!J25</f>
        <v>0</v>
      </c>
    </row>
    <row r="26" spans="1:13" ht="24">
      <c r="A26" s="47" t="s">
        <v>289</v>
      </c>
      <c r="B26" s="42">
        <v>35098</v>
      </c>
      <c r="C26" s="42">
        <v>2000</v>
      </c>
      <c r="D26" s="42">
        <f t="shared" si="3"/>
        <v>37098</v>
      </c>
      <c r="E26" s="42">
        <v>27179</v>
      </c>
      <c r="F26" s="42"/>
      <c r="G26" s="42">
        <f t="shared" si="4"/>
        <v>27179</v>
      </c>
      <c r="H26" s="42">
        <v>26452</v>
      </c>
      <c r="I26" s="42">
        <v>26</v>
      </c>
      <c r="J26" s="42">
        <f t="shared" si="5"/>
        <v>26478</v>
      </c>
      <c r="K26" s="42">
        <f>'6a.melléklet (1)'!B26+'6a.melléklet (1)'!E26+'6a.melléklet (1)'!H26+'6a.melléklet (1)'!K26+'6a.melléklet (2)'!B26+'6a.melléklet (2)'!E26+'6a.melléklet (2)'!H26+'6a.melléklet (2)'!K26+'6a.melléklet (3)'!B26+'6a.melléklet (3)'!E26+'6a.melléklet (3)'!H26+'6a.melléklet (3)'!K26+'6a.melléklet (4)'!B26+'6a.melléklet (4)'!E26+'6a.melléklet (4)'!H26+'6a.melléklet (4)'!K26+'6a.melléklet (5)'!B26+'6a.melléklet (5)'!E26+'6a.melléklet (5)'!H26+'6a.melléklet (5)'!K26+'6a.melléklet (6)'!B26+'6a.melléklet (6)'!E26+'6a.melléklet (6)'!H26+'6a.melléklet (6)'!K26+'6a.melléklet (7)'!B26+'6a.melléklet (7)'!E26+'6a.melléklet (7)'!H26+'6a.melléklet (7)'!K26+'6a.melléklet (8)'!B26+'6a.melléklet (8)'!E26+'6a.melléklet (8)'!H26+'6a.melléklet (8)'!K26+'6a.melléklet (9)'!B26+'6a.melléklet (9)'!E26+'6a.melléklet (9)'!H26+'6a.melléklet (9)'!K26+'6a.melléklet (10)'!B26+'6a.melléklet (10)'!E26+'6a.melléklet (10)'!H26</f>
        <v>353040</v>
      </c>
      <c r="L26" s="42">
        <f>'6a.melléklet (1)'!C26+'6a.melléklet (1)'!F26+'6a.melléklet (1)'!I26+'6a.melléklet (1)'!L26+'6a.melléklet (2)'!C26+'6a.melléklet (2)'!F26+'6a.melléklet (2)'!I26+'6a.melléklet (2)'!L26+'6a.melléklet (3)'!C26+'6a.melléklet (3)'!F26+'6a.melléklet (3)'!I26+'6a.melléklet (3)'!L26+'6a.melléklet (4)'!C26+'6a.melléklet (4)'!F26+'6a.melléklet (4)'!I26+'6a.melléklet (4)'!L26+'6a.melléklet (5)'!C26+'6a.melléklet (5)'!F26+'6a.melléklet (5)'!I26+'6a.melléklet (5)'!L26+'6a.melléklet (6)'!C26+'6a.melléklet (6)'!F26+'6a.melléklet (6)'!I26+'6a.melléklet (6)'!L26+'6a.melléklet (7)'!C26+'6a.melléklet (7)'!F26+'6a.melléklet (7)'!I26+'6a.melléklet (7)'!L26+'6a.melléklet (8)'!C26+'6a.melléklet (8)'!F26+'6a.melléklet (8)'!I26+'6a.melléklet (8)'!L26+'6a.melléklet (9)'!C26+'6a.melléklet (9)'!F26+'6a.melléklet (9)'!I26+'6a.melléklet (9)'!L26+'6a.melléklet (10)'!C26+'6a.melléklet (10)'!F26+'6a.melléklet (10)'!I26</f>
        <v>6578</v>
      </c>
      <c r="M26" s="42">
        <f>'6a.melléklet (1)'!D26+'6a.melléklet (1)'!G26+'6a.melléklet (1)'!J26+'6a.melléklet (1)'!M26+'6a.melléklet (2)'!D26+'6a.melléklet (2)'!G26+'6a.melléklet (2)'!J26+'6a.melléklet (2)'!M26+'6a.melléklet (3)'!D26+'6a.melléklet (3)'!G26+'6a.melléklet (3)'!J26+'6a.melléklet (3)'!M26+'6a.melléklet (4)'!D26+'6a.melléklet (4)'!G26+'6a.melléklet (4)'!J26+'6a.melléklet (4)'!M26+'6a.melléklet (5)'!D26+'6a.melléklet (5)'!G26+'6a.melléklet (5)'!J26+'6a.melléklet (5)'!M26+'6a.melléklet (6)'!D26+'6a.melléklet (6)'!G26+'6a.melléklet (6)'!J26+'6a.melléklet (6)'!M26+'6a.melléklet (7)'!D26+'6a.melléklet (7)'!G26+'6a.melléklet (7)'!J26+'6a.melléklet (7)'!M26+'6a.melléklet (8)'!D26+'6a.melléklet (8)'!G26+'6a.melléklet (8)'!J26+'6a.melléklet (8)'!M26+'6a.melléklet (9)'!D26+'6a.melléklet (9)'!G26+'6a.melléklet (9)'!J26+'6a.melléklet (9)'!M26+'6a.melléklet (10)'!D26+'6a.melléklet (10)'!G26+'6a.melléklet (10)'!J26</f>
        <v>359618</v>
      </c>
    </row>
    <row r="27" spans="1:13" ht="12.75">
      <c r="A27" s="158" t="s">
        <v>290</v>
      </c>
      <c r="B27" s="42">
        <v>487</v>
      </c>
      <c r="C27" s="42"/>
      <c r="D27" s="42">
        <f t="shared" si="3"/>
        <v>487</v>
      </c>
      <c r="E27" s="42"/>
      <c r="F27" s="42"/>
      <c r="G27" s="42">
        <f t="shared" si="4"/>
        <v>0</v>
      </c>
      <c r="H27" s="42"/>
      <c r="I27" s="42"/>
      <c r="J27" s="42">
        <f t="shared" si="5"/>
        <v>0</v>
      </c>
      <c r="K27" s="42">
        <f>'6a.melléklet (1)'!B27+'6a.melléklet (1)'!E27+'6a.melléklet (1)'!H27+'6a.melléklet (1)'!K27+'6a.melléklet (2)'!B27+'6a.melléklet (2)'!E27+'6a.melléklet (2)'!H27+'6a.melléklet (2)'!K27+'6a.melléklet (3)'!B27+'6a.melléklet (3)'!E27+'6a.melléklet (3)'!H27+'6a.melléklet (3)'!K27+'6a.melléklet (4)'!B27+'6a.melléklet (4)'!E27+'6a.melléklet (4)'!H27+'6a.melléklet (4)'!K27+'6a.melléklet (5)'!B27+'6a.melléklet (5)'!E27+'6a.melléklet (5)'!H27+'6a.melléklet (5)'!K27+'6a.melléklet (6)'!B27+'6a.melléklet (6)'!E27+'6a.melléklet (6)'!H27+'6a.melléklet (6)'!K27+'6a.melléklet (7)'!B27+'6a.melléklet (7)'!E27+'6a.melléklet (7)'!H27+'6a.melléklet (7)'!K27+'6a.melléklet (8)'!B27+'6a.melléklet (8)'!E27+'6a.melléklet (8)'!H27+'6a.melléklet (8)'!K27+'6a.melléklet (9)'!B27+'6a.melléklet (9)'!E27+'6a.melléklet (9)'!H27+'6a.melléklet (9)'!K27+'6a.melléklet (10)'!B27+'6a.melléklet (10)'!E27+'6a.melléklet (10)'!H27</f>
        <v>5591</v>
      </c>
      <c r="L27" s="42">
        <f>'6a.melléklet (1)'!C27+'6a.melléklet (1)'!F27+'6a.melléklet (1)'!I27+'6a.melléklet (1)'!L27+'6a.melléklet (2)'!C27+'6a.melléklet (2)'!F27+'6a.melléklet (2)'!I27+'6a.melléklet (2)'!L27+'6a.melléklet (3)'!C27+'6a.melléklet (3)'!F27+'6a.melléklet (3)'!I27+'6a.melléklet (3)'!L27+'6a.melléklet (4)'!C27+'6a.melléklet (4)'!F27+'6a.melléklet (4)'!I27+'6a.melléklet (4)'!L27+'6a.melléklet (5)'!C27+'6a.melléklet (5)'!F27+'6a.melléklet (5)'!I27+'6a.melléklet (5)'!L27+'6a.melléklet (6)'!C27+'6a.melléklet (6)'!F27+'6a.melléklet (6)'!I27+'6a.melléklet (6)'!L27+'6a.melléklet (7)'!C27+'6a.melléklet (7)'!F27+'6a.melléklet (7)'!I27+'6a.melléklet (7)'!L27+'6a.melléklet (8)'!C27+'6a.melléklet (8)'!F27+'6a.melléklet (8)'!I27+'6a.melléklet (8)'!L27+'6a.melléklet (9)'!C27+'6a.melléklet (9)'!F27+'6a.melléklet (9)'!I27+'6a.melléklet (9)'!L27+'6a.melléklet (10)'!C27+'6a.melléklet (10)'!F27+'6a.melléklet (10)'!I27</f>
        <v>0</v>
      </c>
      <c r="M27" s="42">
        <f>'6a.melléklet (1)'!D27+'6a.melléklet (1)'!G27+'6a.melléklet (1)'!J27+'6a.melléklet (1)'!M27+'6a.melléklet (2)'!D27+'6a.melléklet (2)'!G27+'6a.melléklet (2)'!J27+'6a.melléklet (2)'!M27+'6a.melléklet (3)'!D27+'6a.melléklet (3)'!G27+'6a.melléklet (3)'!J27+'6a.melléklet (3)'!M27+'6a.melléklet (4)'!D27+'6a.melléklet (4)'!G27+'6a.melléklet (4)'!J27+'6a.melléklet (4)'!M27+'6a.melléklet (5)'!D27+'6a.melléklet (5)'!G27+'6a.melléklet (5)'!J27+'6a.melléklet (5)'!M27+'6a.melléklet (6)'!D27+'6a.melléklet (6)'!G27+'6a.melléklet (6)'!J27+'6a.melléklet (6)'!M27+'6a.melléklet (7)'!D27+'6a.melléklet (7)'!G27+'6a.melléklet (7)'!J27+'6a.melléklet (7)'!M27+'6a.melléklet (8)'!D27+'6a.melléklet (8)'!G27+'6a.melléklet (8)'!J27+'6a.melléklet (8)'!M27+'6a.melléklet (9)'!D27+'6a.melléklet (9)'!G27+'6a.melléklet (9)'!J27+'6a.melléklet (9)'!M27+'6a.melléklet (10)'!D27+'6a.melléklet (10)'!G27+'6a.melléklet (10)'!J27</f>
        <v>5591</v>
      </c>
    </row>
    <row r="28" spans="1:13" ht="12.75">
      <c r="A28" s="158" t="s">
        <v>666</v>
      </c>
      <c r="B28" s="42">
        <v>2803</v>
      </c>
      <c r="C28" s="42"/>
      <c r="D28" s="42">
        <f t="shared" si="3"/>
        <v>2803</v>
      </c>
      <c r="E28" s="42">
        <v>5355</v>
      </c>
      <c r="F28" s="42"/>
      <c r="G28" s="42">
        <f t="shared" si="4"/>
        <v>5355</v>
      </c>
      <c r="H28" s="42">
        <f>798</f>
        <v>798</v>
      </c>
      <c r="I28" s="42"/>
      <c r="J28" s="42">
        <f t="shared" si="5"/>
        <v>798</v>
      </c>
      <c r="K28" s="42">
        <f>'6a.melléklet (1)'!B28+'6a.melléklet (1)'!E28+'6a.melléklet (1)'!H28+'6a.melléklet (1)'!K28+'6a.melléklet (2)'!B28+'6a.melléklet (2)'!E28+'6a.melléklet (2)'!H28+'6a.melléklet (2)'!K28+'6a.melléklet (3)'!B28+'6a.melléklet (3)'!E28+'6a.melléklet (3)'!H28+'6a.melléklet (3)'!K28+'6a.melléklet (4)'!B28+'6a.melléklet (4)'!E28+'6a.melléklet (4)'!H28+'6a.melléklet (4)'!K28+'6a.melléklet (5)'!B28+'6a.melléklet (5)'!E28+'6a.melléklet (5)'!H28+'6a.melléklet (5)'!K28+'6a.melléklet (6)'!B28+'6a.melléklet (6)'!E28+'6a.melléklet (6)'!H28+'6a.melléklet (6)'!K28+'6a.melléklet (7)'!B28+'6a.melléklet (7)'!E28+'6a.melléklet (7)'!H28+'6a.melléklet (7)'!K28+'6a.melléklet (8)'!B28+'6a.melléklet (8)'!E28+'6a.melléklet (8)'!H28+'6a.melléklet (8)'!K28+'6a.melléklet (9)'!B28+'6a.melléklet (9)'!E28+'6a.melléklet (9)'!H28+'6a.melléklet (9)'!K28+'6a.melléklet (10)'!B28+'6a.melléklet (10)'!E28+'6a.melléklet (10)'!H28</f>
        <v>56812</v>
      </c>
      <c r="L28" s="42">
        <f>'6a.melléklet (1)'!C28+'6a.melléklet (1)'!F28+'6a.melléklet (1)'!I28+'6a.melléklet (1)'!L28+'6a.melléklet (2)'!C28+'6a.melléklet (2)'!F28+'6a.melléklet (2)'!I28+'6a.melléklet (2)'!L28+'6a.melléklet (3)'!C28+'6a.melléklet (3)'!F28+'6a.melléklet (3)'!I28+'6a.melléklet (3)'!L28+'6a.melléklet (4)'!C28+'6a.melléklet (4)'!F28+'6a.melléklet (4)'!I28+'6a.melléklet (4)'!L28+'6a.melléklet (5)'!C28+'6a.melléklet (5)'!F28+'6a.melléklet (5)'!I28+'6a.melléklet (5)'!L28+'6a.melléklet (6)'!C28+'6a.melléklet (6)'!F28+'6a.melléklet (6)'!I28+'6a.melléklet (6)'!L28+'6a.melléklet (7)'!C28+'6a.melléklet (7)'!F28+'6a.melléklet (7)'!I28+'6a.melléklet (7)'!L28+'6a.melléklet (8)'!C28+'6a.melléklet (8)'!F28+'6a.melléklet (8)'!I28+'6a.melléklet (8)'!L28+'6a.melléklet (9)'!C28+'6a.melléklet (9)'!F28+'6a.melléklet (9)'!I28+'6a.melléklet (9)'!L28+'6a.melléklet (10)'!C28+'6a.melléklet (10)'!F28+'6a.melléklet (10)'!I28</f>
        <v>0</v>
      </c>
      <c r="M28" s="42">
        <f>'6a.melléklet (1)'!D28+'6a.melléklet (1)'!G28+'6a.melléklet (1)'!J28+'6a.melléklet (1)'!M28+'6a.melléklet (2)'!D28+'6a.melléklet (2)'!G28+'6a.melléklet (2)'!J28+'6a.melléklet (2)'!M28+'6a.melléklet (3)'!D28+'6a.melléklet (3)'!G28+'6a.melléklet (3)'!J28+'6a.melléklet (3)'!M28+'6a.melléklet (4)'!D28+'6a.melléklet (4)'!G28+'6a.melléklet (4)'!J28+'6a.melléklet (4)'!M28+'6a.melléklet (5)'!D28+'6a.melléklet (5)'!G28+'6a.melléklet (5)'!J28+'6a.melléklet (5)'!M28+'6a.melléklet (6)'!D28+'6a.melléklet (6)'!G28+'6a.melléklet (6)'!J28+'6a.melléklet (6)'!M28+'6a.melléklet (7)'!D28+'6a.melléklet (7)'!G28+'6a.melléklet (7)'!J28+'6a.melléklet (7)'!M28+'6a.melléklet (8)'!D28+'6a.melléklet (8)'!G28+'6a.melléklet (8)'!J28+'6a.melléklet (8)'!M28+'6a.melléklet (9)'!D28+'6a.melléklet (9)'!G28+'6a.melléklet (9)'!J28+'6a.melléklet (9)'!M28+'6a.melléklet (10)'!D28+'6a.melléklet (10)'!G28+'6a.melléklet (10)'!J28</f>
        <v>56812</v>
      </c>
    </row>
    <row r="29" spans="1:13" ht="12.75">
      <c r="A29" s="158" t="s">
        <v>667</v>
      </c>
      <c r="B29" s="42"/>
      <c r="C29" s="42"/>
      <c r="D29" s="42">
        <f t="shared" si="3"/>
        <v>0</v>
      </c>
      <c r="E29" s="42"/>
      <c r="F29" s="42"/>
      <c r="G29" s="42">
        <f t="shared" si="4"/>
        <v>0</v>
      </c>
      <c r="H29" s="42">
        <v>117</v>
      </c>
      <c r="I29" s="42"/>
      <c r="J29" s="42">
        <f t="shared" si="5"/>
        <v>117</v>
      </c>
      <c r="K29" s="42">
        <f>'6a.melléklet (1)'!B29+'6a.melléklet (1)'!E29+'6a.melléklet (1)'!H29+'6a.melléklet (1)'!K29+'6a.melléklet (2)'!B29+'6a.melléklet (2)'!E29+'6a.melléklet (2)'!H29+'6a.melléklet (2)'!K29+'6a.melléklet (3)'!B29+'6a.melléklet (3)'!E29+'6a.melléklet (3)'!H29+'6a.melléklet (3)'!K29+'6a.melléklet (4)'!B29+'6a.melléklet (4)'!E29+'6a.melléklet (4)'!H29+'6a.melléklet (4)'!K29+'6a.melléklet (5)'!B29+'6a.melléklet (5)'!E29+'6a.melléklet (5)'!H29+'6a.melléklet (5)'!K29+'6a.melléklet (6)'!B29+'6a.melléklet (6)'!E29+'6a.melléklet (6)'!H29+'6a.melléklet (6)'!K29+'6a.melléklet (7)'!B29+'6a.melléklet (7)'!E29+'6a.melléklet (7)'!H29+'6a.melléklet (7)'!K29+'6a.melléklet (8)'!B29+'6a.melléklet (8)'!E29+'6a.melléklet (8)'!H29+'6a.melléklet (8)'!K29+'6a.melléklet (9)'!B29+'6a.melléklet (9)'!E29+'6a.melléklet (9)'!H29+'6a.melléklet (9)'!K29+'6a.melléklet (10)'!B29+'6a.melléklet (10)'!E29+'6a.melléklet (10)'!H29</f>
        <v>117</v>
      </c>
      <c r="L29" s="42">
        <f>'6a.melléklet (1)'!C29+'6a.melléklet (1)'!F29+'6a.melléklet (1)'!I29+'6a.melléklet (1)'!L29+'6a.melléklet (2)'!C29+'6a.melléklet (2)'!F29+'6a.melléklet (2)'!I29+'6a.melléklet (2)'!L29+'6a.melléklet (3)'!C29+'6a.melléklet (3)'!F29+'6a.melléklet (3)'!I29+'6a.melléklet (3)'!L29+'6a.melléklet (4)'!C29+'6a.melléklet (4)'!F29+'6a.melléklet (4)'!I29+'6a.melléklet (4)'!L29+'6a.melléklet (5)'!C29+'6a.melléklet (5)'!F29+'6a.melléklet (5)'!I29+'6a.melléklet (5)'!L29+'6a.melléklet (6)'!C29+'6a.melléklet (6)'!F29+'6a.melléklet (6)'!I29+'6a.melléklet (6)'!L29+'6a.melléklet (7)'!C29+'6a.melléklet (7)'!F29+'6a.melléklet (7)'!I29+'6a.melléklet (7)'!L29+'6a.melléklet (8)'!C29+'6a.melléklet (8)'!F29+'6a.melléklet (8)'!I29+'6a.melléklet (8)'!L29+'6a.melléklet (9)'!C29+'6a.melléklet (9)'!F29+'6a.melléklet (9)'!I29+'6a.melléklet (9)'!L29+'6a.melléklet (10)'!C29+'6a.melléklet (10)'!F29+'6a.melléklet (10)'!I29</f>
        <v>0</v>
      </c>
      <c r="M29" s="42">
        <f>'6a.melléklet (1)'!D29+'6a.melléklet (1)'!G29+'6a.melléklet (1)'!J29+'6a.melléklet (1)'!M29+'6a.melléklet (2)'!D29+'6a.melléklet (2)'!G29+'6a.melléklet (2)'!J29+'6a.melléklet (2)'!M29+'6a.melléklet (3)'!D29+'6a.melléklet (3)'!G29+'6a.melléklet (3)'!J29+'6a.melléklet (3)'!M29+'6a.melléklet (4)'!D29+'6a.melléklet (4)'!G29+'6a.melléklet (4)'!J29+'6a.melléklet (4)'!M29+'6a.melléklet (5)'!D29+'6a.melléklet (5)'!G29+'6a.melléklet (5)'!J29+'6a.melléklet (5)'!M29+'6a.melléklet (6)'!D29+'6a.melléklet (6)'!G29+'6a.melléklet (6)'!J29+'6a.melléklet (6)'!M29+'6a.melléklet (7)'!D29+'6a.melléklet (7)'!G29+'6a.melléklet (7)'!J29+'6a.melléklet (7)'!M29+'6a.melléklet (8)'!D29+'6a.melléklet (8)'!G29+'6a.melléklet (8)'!J29+'6a.melléklet (8)'!M29+'6a.melléklet (9)'!D29+'6a.melléklet (9)'!G29+'6a.melléklet (9)'!J29+'6a.melléklet (9)'!M29+'6a.melléklet (10)'!D29+'6a.melléklet (10)'!G29+'6a.melléklet (10)'!J29</f>
        <v>117</v>
      </c>
    </row>
    <row r="30" spans="1:13" ht="19.5" customHeight="1">
      <c r="A30" s="804" t="s">
        <v>417</v>
      </c>
      <c r="B30" s="42">
        <v>33</v>
      </c>
      <c r="C30" s="42"/>
      <c r="D30" s="42">
        <f t="shared" si="3"/>
        <v>33</v>
      </c>
      <c r="E30" s="42"/>
      <c r="F30" s="42"/>
      <c r="G30" s="42">
        <f t="shared" si="4"/>
        <v>0</v>
      </c>
      <c r="H30" s="42"/>
      <c r="I30" s="42"/>
      <c r="J30" s="42">
        <f t="shared" si="5"/>
        <v>0</v>
      </c>
      <c r="K30" s="42">
        <f>'6a.melléklet (1)'!B30+'6a.melléklet (1)'!E30+'6a.melléklet (1)'!H30+'6a.melléklet (1)'!K30+'6a.melléklet (2)'!B30+'6a.melléklet (2)'!E30+'6a.melléklet (2)'!H30+'6a.melléklet (2)'!K30+'6a.melléklet (3)'!B30+'6a.melléklet (3)'!E30+'6a.melléklet (3)'!H30+'6a.melléklet (3)'!K30+'6a.melléklet (4)'!B30+'6a.melléklet (4)'!E30+'6a.melléklet (4)'!H30+'6a.melléklet (4)'!K30+'6a.melléklet (5)'!B30+'6a.melléklet (5)'!E30+'6a.melléklet (5)'!H30+'6a.melléklet (5)'!K30+'6a.melléklet (6)'!B30+'6a.melléklet (6)'!E30+'6a.melléklet (6)'!H30+'6a.melléklet (6)'!K30+'6a.melléklet (7)'!B30+'6a.melléklet (7)'!E30+'6a.melléklet (7)'!H30+'6a.melléklet (7)'!K30+'6a.melléklet (8)'!B30+'6a.melléklet (8)'!E30+'6a.melléklet (8)'!H30+'6a.melléklet (8)'!K30+'6a.melléklet (9)'!B30+'6a.melléklet (9)'!E30+'6a.melléklet (9)'!H30+'6a.melléklet (9)'!K30+'6a.melléklet (10)'!B30+'6a.melléklet (10)'!E30+'6a.melléklet (10)'!H30</f>
        <v>3679</v>
      </c>
      <c r="L30" s="42">
        <f>'6a.melléklet (1)'!C30+'6a.melléklet (1)'!F30+'6a.melléklet (1)'!I30+'6a.melléklet (1)'!L30+'6a.melléklet (2)'!C30+'6a.melléklet (2)'!F30+'6a.melléklet (2)'!I30+'6a.melléklet (2)'!L30+'6a.melléklet (3)'!C30+'6a.melléklet (3)'!F30+'6a.melléklet (3)'!I30+'6a.melléklet (3)'!L30+'6a.melléklet (4)'!C30+'6a.melléklet (4)'!F30+'6a.melléklet (4)'!I30+'6a.melléklet (4)'!L30+'6a.melléklet (5)'!C30+'6a.melléklet (5)'!F30+'6a.melléklet (5)'!I30+'6a.melléklet (5)'!L30+'6a.melléklet (6)'!C30+'6a.melléklet (6)'!F30+'6a.melléklet (6)'!I30+'6a.melléklet (6)'!L30+'6a.melléklet (7)'!C30+'6a.melléklet (7)'!F30+'6a.melléklet (7)'!I30+'6a.melléklet (7)'!L30+'6a.melléklet (8)'!C30+'6a.melléklet (8)'!F30+'6a.melléklet (8)'!I30+'6a.melléklet (8)'!L30+'6a.melléklet (9)'!C30+'6a.melléklet (9)'!F30+'6a.melléklet (9)'!I30+'6a.melléklet (9)'!L30+'6a.melléklet (10)'!C30+'6a.melléklet (10)'!F30+'6a.melléklet (10)'!I30</f>
        <v>0</v>
      </c>
      <c r="M30" s="42">
        <f>'6a.melléklet (1)'!D30+'6a.melléklet (1)'!G30+'6a.melléklet (1)'!J30+'6a.melléklet (1)'!M30+'6a.melléklet (2)'!D30+'6a.melléklet (2)'!G30+'6a.melléklet (2)'!J30+'6a.melléklet (2)'!M30+'6a.melléklet (3)'!D30+'6a.melléklet (3)'!G30+'6a.melléklet (3)'!J30+'6a.melléklet (3)'!M30+'6a.melléklet (4)'!D30+'6a.melléklet (4)'!G30+'6a.melléklet (4)'!J30+'6a.melléklet (4)'!M30+'6a.melléklet (5)'!D30+'6a.melléklet (5)'!G30+'6a.melléklet (5)'!J30+'6a.melléklet (5)'!M30+'6a.melléklet (6)'!D30+'6a.melléklet (6)'!G30+'6a.melléklet (6)'!J30+'6a.melléklet (6)'!M30+'6a.melléklet (7)'!D30+'6a.melléklet (7)'!G30+'6a.melléklet (7)'!J30+'6a.melléklet (7)'!M30+'6a.melléklet (8)'!D30+'6a.melléklet (8)'!G30+'6a.melléklet (8)'!J30+'6a.melléklet (8)'!M30+'6a.melléklet (9)'!D30+'6a.melléklet (9)'!G30+'6a.melléklet (9)'!J30+'6a.melléklet (9)'!M30+'6a.melléklet (10)'!D30+'6a.melléklet (10)'!G30+'6a.melléklet (10)'!J30</f>
        <v>3679</v>
      </c>
    </row>
    <row r="31" spans="1:13" ht="22.5">
      <c r="A31" s="830" t="s">
        <v>418</v>
      </c>
      <c r="B31" s="42"/>
      <c r="C31" s="42"/>
      <c r="D31" s="42">
        <f t="shared" si="3"/>
        <v>0</v>
      </c>
      <c r="E31" s="42"/>
      <c r="F31" s="42"/>
      <c r="G31" s="42">
        <f t="shared" si="4"/>
        <v>0</v>
      </c>
      <c r="H31" s="42"/>
      <c r="I31" s="42"/>
      <c r="J31" s="42">
        <f t="shared" si="5"/>
        <v>0</v>
      </c>
      <c r="K31" s="42">
        <f>'6a.melléklet (1)'!B31+'6a.melléklet (1)'!E31+'6a.melléklet (1)'!H31+'6a.melléklet (1)'!K31+'6a.melléklet (2)'!B31+'6a.melléklet (2)'!E31+'6a.melléklet (2)'!H31+'6a.melléklet (2)'!K31+'6a.melléklet (3)'!B31+'6a.melléklet (3)'!E31+'6a.melléklet (3)'!H31+'6a.melléklet (3)'!K31+'6a.melléklet (4)'!B31+'6a.melléklet (4)'!E31+'6a.melléklet (4)'!H31+'6a.melléklet (4)'!K31+'6a.melléklet (5)'!B31+'6a.melléklet (5)'!E31+'6a.melléklet (5)'!H31+'6a.melléklet (5)'!K31+'6a.melléklet (6)'!B31+'6a.melléklet (6)'!E31+'6a.melléklet (6)'!H31+'6a.melléklet (6)'!K31+'6a.melléklet (7)'!B31+'6a.melléklet (7)'!E31+'6a.melléklet (7)'!H31+'6a.melléklet (7)'!K31+'6a.melléklet (8)'!B31+'6a.melléklet (8)'!E31+'6a.melléklet (8)'!H31+'6a.melléklet (8)'!K31+'6a.melléklet (9)'!B31+'6a.melléklet (9)'!E31+'6a.melléklet (9)'!H31+'6a.melléklet (9)'!K31+'6a.melléklet (10)'!B31+'6a.melléklet (10)'!E31+'6a.melléklet (10)'!H31</f>
        <v>1241</v>
      </c>
      <c r="L31" s="42">
        <f>'6a.melléklet (1)'!C31+'6a.melléklet (1)'!F31+'6a.melléklet (1)'!I31+'6a.melléklet (1)'!L31+'6a.melléklet (2)'!C31+'6a.melléklet (2)'!F31+'6a.melléklet (2)'!I31+'6a.melléklet (2)'!L31+'6a.melléklet (3)'!C31+'6a.melléklet (3)'!F31+'6a.melléklet (3)'!I31+'6a.melléklet (3)'!L31+'6a.melléklet (4)'!C31+'6a.melléklet (4)'!F31+'6a.melléklet (4)'!I31+'6a.melléklet (4)'!L31+'6a.melléklet (5)'!C31+'6a.melléklet (5)'!F31+'6a.melléklet (5)'!I31+'6a.melléklet (5)'!L31+'6a.melléklet (6)'!C31+'6a.melléklet (6)'!F31+'6a.melléklet (6)'!I31+'6a.melléklet (6)'!L31+'6a.melléklet (7)'!C31+'6a.melléklet (7)'!F31+'6a.melléklet (7)'!I31+'6a.melléklet (7)'!L31+'6a.melléklet (8)'!C31+'6a.melléklet (8)'!F31+'6a.melléklet (8)'!I31+'6a.melléklet (8)'!L31+'6a.melléklet (9)'!C31+'6a.melléklet (9)'!F31+'6a.melléklet (9)'!I31+'6a.melléklet (9)'!L31+'6a.melléklet (10)'!C31+'6a.melléklet (10)'!F31+'6a.melléklet (10)'!I31</f>
        <v>0</v>
      </c>
      <c r="M31" s="42">
        <f>'6a.melléklet (1)'!D31+'6a.melléklet (1)'!G31+'6a.melléklet (1)'!J31+'6a.melléklet (1)'!M31+'6a.melléklet (2)'!D31+'6a.melléklet (2)'!G31+'6a.melléklet (2)'!J31+'6a.melléklet (2)'!M31+'6a.melléklet (3)'!D31+'6a.melléklet (3)'!G31+'6a.melléklet (3)'!J31+'6a.melléklet (3)'!M31+'6a.melléklet (4)'!D31+'6a.melléklet (4)'!G31+'6a.melléklet (4)'!J31+'6a.melléklet (4)'!M31+'6a.melléklet (5)'!D31+'6a.melléklet (5)'!G31+'6a.melléklet (5)'!J31+'6a.melléklet (5)'!M31+'6a.melléklet (6)'!D31+'6a.melléklet (6)'!G31+'6a.melléklet (6)'!J31+'6a.melléklet (6)'!M31+'6a.melléklet (7)'!D31+'6a.melléklet (7)'!G31+'6a.melléklet (7)'!J31+'6a.melléklet (7)'!M31+'6a.melléklet (8)'!D31+'6a.melléklet (8)'!G31+'6a.melléklet (8)'!J31+'6a.melléklet (8)'!M31+'6a.melléklet (9)'!D31+'6a.melléklet (9)'!G31+'6a.melléklet (9)'!J31+'6a.melléklet (9)'!M31+'6a.melléklet (10)'!D31+'6a.melléklet (10)'!G31+'6a.melléklet (10)'!J31</f>
        <v>1241</v>
      </c>
    </row>
    <row r="32" spans="1:13" ht="12.75">
      <c r="A32" s="158" t="s">
        <v>419</v>
      </c>
      <c r="B32" s="42"/>
      <c r="C32" s="42"/>
      <c r="D32" s="42">
        <f t="shared" si="3"/>
        <v>0</v>
      </c>
      <c r="E32" s="42"/>
      <c r="F32" s="42"/>
      <c r="G32" s="42">
        <f t="shared" si="4"/>
        <v>0</v>
      </c>
      <c r="H32" s="42"/>
      <c r="I32" s="42"/>
      <c r="J32" s="42">
        <f t="shared" si="5"/>
        <v>0</v>
      </c>
      <c r="K32" s="42">
        <f>'6a.melléklet (1)'!B32+'6a.melléklet (1)'!E32+'6a.melléklet (1)'!H32+'6a.melléklet (1)'!K32+'6a.melléklet (2)'!B32+'6a.melléklet (2)'!E32+'6a.melléklet (2)'!H32+'6a.melléklet (2)'!K32+'6a.melléklet (3)'!B32+'6a.melléklet (3)'!E32+'6a.melléklet (3)'!H32+'6a.melléklet (3)'!K32+'6a.melléklet (4)'!B32+'6a.melléklet (4)'!E32+'6a.melléklet (4)'!H32+'6a.melléklet (4)'!K32+'6a.melléklet (5)'!B32+'6a.melléklet (5)'!E32+'6a.melléklet (5)'!H32+'6a.melléklet (5)'!K32+'6a.melléklet (6)'!B32+'6a.melléklet (6)'!E32+'6a.melléklet (6)'!H32+'6a.melléklet (6)'!K32+'6a.melléklet (7)'!B32+'6a.melléklet (7)'!E32+'6a.melléklet (7)'!H32+'6a.melléklet (7)'!K32+'6a.melléklet (8)'!B32+'6a.melléklet (8)'!E32+'6a.melléklet (8)'!H32+'6a.melléklet (8)'!K32+'6a.melléklet (9)'!B32+'6a.melléklet (9)'!E32+'6a.melléklet (9)'!H32+'6a.melléklet (9)'!K32+'6a.melléklet (10)'!B32+'6a.melléklet (10)'!E32+'6a.melléklet (10)'!H32</f>
        <v>0</v>
      </c>
      <c r="L32" s="42">
        <f>'6a.melléklet (1)'!C32+'6a.melléklet (1)'!F32+'6a.melléklet (1)'!I32+'6a.melléklet (1)'!L32+'6a.melléklet (2)'!C32+'6a.melléklet (2)'!F32+'6a.melléklet (2)'!I32+'6a.melléklet (2)'!L32+'6a.melléklet (3)'!C32+'6a.melléklet (3)'!F32+'6a.melléklet (3)'!I32+'6a.melléklet (3)'!L32+'6a.melléklet (4)'!C32+'6a.melléklet (4)'!F32+'6a.melléklet (4)'!I32+'6a.melléklet (4)'!L32+'6a.melléklet (5)'!C32+'6a.melléklet (5)'!F32+'6a.melléklet (5)'!I32+'6a.melléklet (5)'!L32+'6a.melléklet (6)'!C32+'6a.melléklet (6)'!F32+'6a.melléklet (6)'!I32+'6a.melléklet (6)'!L32+'6a.melléklet (7)'!C32+'6a.melléklet (7)'!F32+'6a.melléklet (7)'!I32+'6a.melléklet (7)'!L32+'6a.melléklet (8)'!C32+'6a.melléklet (8)'!F32+'6a.melléklet (8)'!I32+'6a.melléklet (8)'!L32+'6a.melléklet (9)'!C32+'6a.melléklet (9)'!F32+'6a.melléklet (9)'!I32+'6a.melléklet (9)'!L32+'6a.melléklet (10)'!C32+'6a.melléklet (10)'!F32+'6a.melléklet (10)'!I32</f>
        <v>0</v>
      </c>
      <c r="M32" s="42">
        <f>'6a.melléklet (1)'!D32+'6a.melléklet (1)'!G32+'6a.melléklet (1)'!J32+'6a.melléklet (1)'!M32+'6a.melléklet (2)'!D32+'6a.melléklet (2)'!G32+'6a.melléklet (2)'!J32+'6a.melléklet (2)'!M32+'6a.melléklet (3)'!D32+'6a.melléklet (3)'!G32+'6a.melléklet (3)'!J32+'6a.melléklet (3)'!M32+'6a.melléklet (4)'!D32+'6a.melléklet (4)'!G32+'6a.melléklet (4)'!J32+'6a.melléklet (4)'!M32+'6a.melléklet (5)'!D32+'6a.melléklet (5)'!G32+'6a.melléklet (5)'!J32+'6a.melléklet (5)'!M32+'6a.melléklet (6)'!D32+'6a.melléklet (6)'!G32+'6a.melléklet (6)'!J32+'6a.melléklet (6)'!M32+'6a.melléklet (7)'!D32+'6a.melléklet (7)'!G32+'6a.melléklet (7)'!J32+'6a.melléklet (7)'!M32+'6a.melléklet (8)'!D32+'6a.melléklet (8)'!G32+'6a.melléklet (8)'!J32+'6a.melléklet (8)'!M32+'6a.melléklet (9)'!D32+'6a.melléklet (9)'!G32+'6a.melléklet (9)'!J32+'6a.melléklet (9)'!M32+'6a.melléklet (10)'!D32+'6a.melléklet (10)'!G32+'6a.melléklet (10)'!J32</f>
        <v>0</v>
      </c>
    </row>
    <row r="33" spans="1:13" ht="12.75">
      <c r="A33" s="158" t="s">
        <v>420</v>
      </c>
      <c r="B33" s="42">
        <v>6217</v>
      </c>
      <c r="C33" s="42"/>
      <c r="D33" s="42">
        <f t="shared" si="3"/>
        <v>6217</v>
      </c>
      <c r="E33" s="42">
        <v>4032</v>
      </c>
      <c r="F33" s="42"/>
      <c r="G33" s="42">
        <f t="shared" si="4"/>
        <v>4032</v>
      </c>
      <c r="H33" s="42">
        <v>137371</v>
      </c>
      <c r="I33" s="42"/>
      <c r="J33" s="42">
        <f t="shared" si="5"/>
        <v>137371</v>
      </c>
      <c r="K33" s="42">
        <f>'6a.melléklet (1)'!B33+'6a.melléklet (1)'!E33+'6a.melléklet (1)'!H33+'6a.melléklet (1)'!K33+'6a.melléklet (2)'!B33+'6a.melléklet (2)'!E33+'6a.melléklet (2)'!H33+'6a.melléklet (2)'!K33+'6a.melléklet (3)'!B33+'6a.melléklet (3)'!E33+'6a.melléklet (3)'!H33+'6a.melléklet (3)'!K33+'6a.melléklet (4)'!B33+'6a.melléklet (4)'!E33+'6a.melléklet (4)'!H33+'6a.melléklet (4)'!K33+'6a.melléklet (5)'!B33+'6a.melléklet (5)'!E33+'6a.melléklet (5)'!H33+'6a.melléklet (5)'!K33+'6a.melléklet (6)'!B33+'6a.melléklet (6)'!E33+'6a.melléklet (6)'!H33+'6a.melléklet (6)'!K33+'6a.melléklet (7)'!B33+'6a.melléklet (7)'!E33+'6a.melléklet (7)'!H33+'6a.melléklet (7)'!K33+'6a.melléklet (8)'!B33+'6a.melléklet (8)'!E33+'6a.melléklet (8)'!H33+'6a.melléklet (8)'!K33+'6a.melléklet (9)'!B33+'6a.melléklet (9)'!E33+'6a.melléklet (9)'!H33+'6a.melléklet (9)'!K33+'6a.melléklet (10)'!B33+'6a.melléklet (10)'!E33+'6a.melléklet (10)'!H33</f>
        <v>243186</v>
      </c>
      <c r="L33" s="42">
        <f>'6a.melléklet (1)'!C33+'6a.melléklet (1)'!F33+'6a.melléklet (1)'!I33+'6a.melléklet (1)'!L33+'6a.melléklet (2)'!C33+'6a.melléklet (2)'!F33+'6a.melléklet (2)'!I33+'6a.melléklet (2)'!L33+'6a.melléklet (3)'!C33+'6a.melléklet (3)'!F33+'6a.melléklet (3)'!I33+'6a.melléklet (3)'!L33+'6a.melléklet (4)'!C33+'6a.melléklet (4)'!F33+'6a.melléklet (4)'!I33+'6a.melléklet (4)'!L33+'6a.melléklet (5)'!C33+'6a.melléklet (5)'!F33+'6a.melléklet (5)'!I33+'6a.melléklet (5)'!L33+'6a.melléklet (6)'!C33+'6a.melléklet (6)'!F33+'6a.melléklet (6)'!I33+'6a.melléklet (6)'!L33+'6a.melléklet (7)'!C33+'6a.melléklet (7)'!F33+'6a.melléklet (7)'!I33+'6a.melléklet (7)'!L33+'6a.melléklet (8)'!C33+'6a.melléklet (8)'!F33+'6a.melléklet (8)'!I33+'6a.melléklet (8)'!L33+'6a.melléklet (9)'!C33+'6a.melléklet (9)'!F33+'6a.melléklet (9)'!I33+'6a.melléklet (9)'!L33+'6a.melléklet (10)'!C33+'6a.melléklet (10)'!F33+'6a.melléklet (10)'!I33</f>
        <v>0</v>
      </c>
      <c r="M33" s="42">
        <f>'6a.melléklet (1)'!D33+'6a.melléklet (1)'!G33+'6a.melléklet (1)'!J33+'6a.melléklet (1)'!M33+'6a.melléklet (2)'!D33+'6a.melléklet (2)'!G33+'6a.melléklet (2)'!J33+'6a.melléklet (2)'!M33+'6a.melléklet (3)'!D33+'6a.melléklet (3)'!G33+'6a.melléklet (3)'!J33+'6a.melléklet (3)'!M33+'6a.melléklet (4)'!D33+'6a.melléklet (4)'!G33+'6a.melléklet (4)'!J33+'6a.melléklet (4)'!M33+'6a.melléklet (5)'!D33+'6a.melléklet (5)'!G33+'6a.melléklet (5)'!J33+'6a.melléklet (5)'!M33+'6a.melléklet (6)'!D33+'6a.melléklet (6)'!G33+'6a.melléklet (6)'!J33+'6a.melléklet (6)'!M33+'6a.melléklet (7)'!D33+'6a.melléklet (7)'!G33+'6a.melléklet (7)'!J33+'6a.melléklet (7)'!M33+'6a.melléklet (8)'!D33+'6a.melléklet (8)'!G33+'6a.melléklet (8)'!J33+'6a.melléklet (8)'!M33+'6a.melléklet (9)'!D33+'6a.melléklet (9)'!G33+'6a.melléklet (9)'!J33+'6a.melléklet (9)'!M33+'6a.melléklet (10)'!D33+'6a.melléklet (10)'!G33+'6a.melléklet (10)'!J33</f>
        <v>243186</v>
      </c>
    </row>
    <row r="34" spans="1:13" ht="12.75">
      <c r="A34" s="158" t="s">
        <v>421</v>
      </c>
      <c r="B34" s="42">
        <f aca="true" t="shared" si="6" ref="B34:L34">+B23-B25-B26-B27-B28-B30-B31-B32-B33-B29</f>
        <v>159032</v>
      </c>
      <c r="C34" s="42">
        <f t="shared" si="6"/>
        <v>6574</v>
      </c>
      <c r="D34" s="42">
        <f t="shared" si="6"/>
        <v>165606</v>
      </c>
      <c r="E34" s="42">
        <f t="shared" si="6"/>
        <v>342781</v>
      </c>
      <c r="F34" s="42">
        <f t="shared" si="6"/>
        <v>45010</v>
      </c>
      <c r="G34" s="42">
        <f t="shared" si="6"/>
        <v>387791</v>
      </c>
      <c r="H34" s="42">
        <f t="shared" si="6"/>
        <v>394907</v>
      </c>
      <c r="I34" s="42">
        <f t="shared" si="6"/>
        <v>11918</v>
      </c>
      <c r="J34" s="42">
        <f t="shared" si="6"/>
        <v>406825</v>
      </c>
      <c r="K34" s="42">
        <f t="shared" si="6"/>
        <v>6424261</v>
      </c>
      <c r="L34" s="42">
        <f t="shared" si="6"/>
        <v>491762</v>
      </c>
      <c r="M34" s="42">
        <f>'6a.melléklet (1)'!D34+'6a.melléklet (1)'!G34+'6a.melléklet (1)'!J34+'6a.melléklet (1)'!M34+'6a.melléklet (2)'!D34+'6a.melléklet (2)'!G34+'6a.melléklet (2)'!J34+'6a.melléklet (2)'!M34+'6a.melléklet (3)'!D34+'6a.melléklet (3)'!G34+'6a.melléklet (3)'!J34+'6a.melléklet (3)'!M34+'6a.melléklet (4)'!D34+'6a.melléklet (4)'!G34+'6a.melléklet (4)'!J34+'6a.melléklet (4)'!M34+'6a.melléklet (5)'!D34+'6a.melléklet (5)'!G34+'6a.melléklet (5)'!J34+'6a.melléklet (5)'!M34+'6a.melléklet (6)'!D34+'6a.melléklet (6)'!G34+'6a.melléklet (6)'!J34+'6a.melléklet (6)'!M34+'6a.melléklet (7)'!D34+'6a.melléklet (7)'!G34+'6a.melléklet (7)'!J34+'6a.melléklet (7)'!M34+'6a.melléklet (8)'!D34+'6a.melléklet (8)'!G34+'6a.melléklet (8)'!J34+'6a.melléklet (8)'!M34+'6a.melléklet (9)'!D34+'6a.melléklet (9)'!G34+'6a.melléklet (9)'!J34+'6a.melléklet (9)'!M34+'6a.melléklet (10)'!D34+'6a.melléklet (10)'!G34+'6a.melléklet (10)'!J34</f>
        <v>6916023</v>
      </c>
    </row>
    <row r="35" spans="1:13" ht="12.75">
      <c r="A35" s="826" t="s">
        <v>66</v>
      </c>
      <c r="B35" s="42">
        <v>59276</v>
      </c>
      <c r="C35" s="42"/>
      <c r="D35" s="42">
        <f>SUM(B35:C35)</f>
        <v>59276</v>
      </c>
      <c r="E35" s="42">
        <v>123614</v>
      </c>
      <c r="F35" s="42"/>
      <c r="G35" s="42">
        <f>SUM(E35:F35)</f>
        <v>123614</v>
      </c>
      <c r="H35" s="42"/>
      <c r="I35" s="42"/>
      <c r="J35" s="42">
        <f>SUM(H35:I35)</f>
        <v>0</v>
      </c>
      <c r="K35" s="42">
        <f>'6a.melléklet (1)'!B35+'6a.melléklet (1)'!E35+'6a.melléklet (1)'!H35+'6a.melléklet (1)'!K35+'6a.melléklet (2)'!B35+'6a.melléklet (2)'!E35+'6a.melléklet (2)'!H35+'6a.melléklet (2)'!K35+'6a.melléklet (3)'!B35+'6a.melléklet (3)'!E35+'6a.melléklet (3)'!H35+'6a.melléklet (3)'!K35+'6a.melléklet (4)'!B35+'6a.melléklet (4)'!E35+'6a.melléklet (4)'!H35+'6a.melléklet (4)'!K35+'6a.melléklet (5)'!B35+'6a.melléklet (5)'!E35+'6a.melléklet (5)'!H35+'6a.melléklet (5)'!K35+'6a.melléklet (6)'!B35+'6a.melléklet (6)'!E35+'6a.melléklet (6)'!H35+'6a.melléklet (6)'!K35+'6a.melléklet (7)'!B35+'6a.melléklet (7)'!E35+'6a.melléklet (7)'!H35+'6a.melléklet (7)'!K35+'6a.melléklet (8)'!B35+'6a.melléklet (8)'!E35+'6a.melléklet (8)'!H35+'6a.melléklet (8)'!K35+'6a.melléklet (9)'!B35+'6a.melléklet (9)'!E35+'6a.melléklet (9)'!H35+'6a.melléklet (9)'!K35+'6a.melléklet (10)'!B35+'6a.melléklet (10)'!E35+'6a.melléklet (10)'!H35</f>
        <v>2226863</v>
      </c>
      <c r="L35" s="42">
        <f>'6a.melléklet (1)'!C35+'6a.melléklet (1)'!F35+'6a.melléklet (1)'!I35+'6a.melléklet (1)'!L35+'6a.melléklet (2)'!C35+'6a.melléklet (2)'!F35+'6a.melléklet (2)'!I35+'6a.melléklet (2)'!L35+'6a.melléklet (3)'!C35+'6a.melléklet (3)'!F35+'6a.melléklet (3)'!I35+'6a.melléklet (3)'!L35+'6a.melléklet (4)'!C35+'6a.melléklet (4)'!F35+'6a.melléklet (4)'!I35+'6a.melléklet (4)'!L35+'6a.melléklet (5)'!C35+'6a.melléklet (5)'!F35+'6a.melléklet (5)'!I35+'6a.melléklet (5)'!L35+'6a.melléklet (6)'!C35+'6a.melléklet (6)'!F35+'6a.melléklet (6)'!I35+'6a.melléklet (6)'!L35+'6a.melléklet (7)'!C35+'6a.melléklet (7)'!F35+'6a.melléklet (7)'!I35+'6a.melléklet (7)'!L35+'6a.melléklet (8)'!C35+'6a.melléklet (8)'!F35+'6a.melléklet (8)'!I35+'6a.melléklet (8)'!L35+'6a.melléklet (9)'!C35+'6a.melléklet (9)'!F35+'6a.melléklet (9)'!I35+'6a.melléklet (9)'!L35+'6a.melléklet (10)'!C35+'6a.melléklet (10)'!F35+'6a.melléklet (10)'!I35</f>
        <v>0</v>
      </c>
      <c r="M35" s="42">
        <f>'6a.melléklet (1)'!D35+'6a.melléklet (1)'!G35+'6a.melléklet (1)'!J35+'6a.melléklet (1)'!M35+'6a.melléklet (2)'!D35+'6a.melléklet (2)'!G35+'6a.melléklet (2)'!J35+'6a.melléklet (2)'!M35+'6a.melléklet (3)'!D35+'6a.melléklet (3)'!G35+'6a.melléklet (3)'!J35+'6a.melléklet (3)'!M35+'6a.melléklet (4)'!D35+'6a.melléklet (4)'!G35+'6a.melléklet (4)'!J35+'6a.melléklet (4)'!M35+'6a.melléklet (5)'!D35+'6a.melléklet (5)'!G35+'6a.melléklet (5)'!J35+'6a.melléklet (5)'!M35+'6a.melléklet (6)'!D35+'6a.melléklet (6)'!G35+'6a.melléklet (6)'!J35+'6a.melléklet (6)'!M35+'6a.melléklet (7)'!D35+'6a.melléklet (7)'!G35+'6a.melléklet (7)'!J35+'6a.melléklet (7)'!M35+'6a.melléklet (8)'!D35+'6a.melléklet (8)'!G35+'6a.melléklet (8)'!J35+'6a.melléklet (8)'!M35+'6a.melléklet (9)'!D35+'6a.melléklet (9)'!G35+'6a.melléklet (9)'!J35+'6a.melléklet (9)'!M35+'6a.melléklet (10)'!D35+'6a.melléklet (10)'!G35+'6a.melléklet (10)'!J35</f>
        <v>2226863</v>
      </c>
    </row>
    <row r="36" spans="1:13" ht="12.75">
      <c r="A36" s="803" t="s">
        <v>714</v>
      </c>
      <c r="B36" s="42"/>
      <c r="C36" s="42"/>
      <c r="D36" s="42">
        <f>SUM(B36:C36)</f>
        <v>0</v>
      </c>
      <c r="E36" s="42"/>
      <c r="F36" s="42"/>
      <c r="G36" s="42">
        <f>SUM(E36:F36)</f>
        <v>0</v>
      </c>
      <c r="H36" s="42"/>
      <c r="I36" s="42"/>
      <c r="J36" s="42">
        <f>SUM(H36:I36)</f>
        <v>0</v>
      </c>
      <c r="K36" s="42">
        <f>'6a.melléklet (1)'!B36+'6a.melléklet (1)'!E36+'6a.melléklet (1)'!H36+'6a.melléklet (1)'!K36+'6a.melléklet (2)'!B36+'6a.melléklet (2)'!E36+'6a.melléklet (2)'!H36+'6a.melléklet (2)'!K36+'6a.melléklet (3)'!B36+'6a.melléklet (3)'!E36+'6a.melléklet (3)'!H36+'6a.melléklet (3)'!K36+'6a.melléklet (4)'!B36+'6a.melléklet (4)'!E36+'6a.melléklet (4)'!H36+'6a.melléklet (4)'!K36+'6a.melléklet (5)'!B36+'6a.melléklet (5)'!E36+'6a.melléklet (5)'!H36+'6a.melléklet (5)'!K36+'6a.melléklet (6)'!B36+'6a.melléklet (6)'!E36+'6a.melléklet (6)'!H36+'6a.melléklet (6)'!K36+'6a.melléklet (7)'!B36+'6a.melléklet (7)'!E36+'6a.melléklet (7)'!H36+'6a.melléklet (7)'!K36+'6a.melléklet (8)'!B36+'6a.melléklet (8)'!E36+'6a.melléklet (8)'!H36+'6a.melléklet (8)'!K36+'6a.melléklet (9)'!B36+'6a.melléklet (9)'!E36+'6a.melléklet (9)'!H36+'6a.melléklet (9)'!K36+'6a.melléklet (10)'!B36+'6a.melléklet (10)'!E36+'6a.melléklet (10)'!H36</f>
        <v>49470</v>
      </c>
      <c r="L36" s="42">
        <f>'6a.melléklet (1)'!F36+'6a.melléklet (1)'!I36+'6a.melléklet (1)'!L36+'6a.melléklet (2)'!C36+'6a.melléklet (2)'!F36+'6a.melléklet (2)'!I36+'6a.melléklet (2)'!L36+'6a.melléklet (3)'!C36+'6a.melléklet (3)'!F36+'6a.melléklet (3)'!I36+'6a.melléklet (3)'!L36+'6a.melléklet (4)'!C36+'6a.melléklet (4)'!F36+'6a.melléklet (4)'!I36+'6a.melléklet (4)'!L36+'6a.melléklet (5)'!C36+'6a.melléklet (5)'!F36+'6a.melléklet (5)'!I36+'6a.melléklet (5)'!L36+'6a.melléklet (6)'!C36+'6a.melléklet (6)'!F36+'6a.melléklet (6)'!I36+'6a.melléklet (6)'!L36+'6a.melléklet (7)'!C36+'6a.melléklet (7)'!F36+'6a.melléklet (7)'!I36+'6a.melléklet (7)'!L36+'6a.melléklet (8)'!C36+'6a.melléklet (8)'!F36+'6a.melléklet (8)'!I36+'6a.melléklet (8)'!L36+'6a.melléklet (9)'!C36+'6a.melléklet (9)'!F36+'6a.melléklet (9)'!I36+'6a.melléklet (9)'!L36+'6a.melléklet (10)'!C36+'6a.melléklet (10)'!F36+'6a.melléklet (10)'!I36</f>
        <v>0</v>
      </c>
      <c r="M36" s="42">
        <f>'6a.melléklet (1)'!D36+'6a.melléklet (1)'!G36+'6a.melléklet (1)'!J36+'6a.melléklet (1)'!M36+'6a.melléklet (2)'!D36+'6a.melléklet (2)'!G36+'6a.melléklet (2)'!J36+'6a.melléklet (2)'!M36+'6a.melléklet (3)'!D36+'6a.melléklet (3)'!G36+'6a.melléklet (3)'!J36+'6a.melléklet (3)'!M36+'6a.melléklet (4)'!D36+'6a.melléklet (4)'!G36+'6a.melléklet (4)'!J36+'6a.melléklet (4)'!M36+'6a.melléklet (5)'!D36+'6a.melléklet (5)'!G36+'6a.melléklet (5)'!J36+'6a.melléklet (5)'!M36+'6a.melléklet (6)'!D36+'6a.melléklet (6)'!G36+'6a.melléklet (6)'!J36+'6a.melléklet (6)'!M36+'6a.melléklet (7)'!D36+'6a.melléklet (7)'!G36+'6a.melléklet (7)'!J36+'6a.melléklet (7)'!M36+'6a.melléklet (8)'!D36+'6a.melléklet (8)'!G36+'6a.melléklet (8)'!J36+'6a.melléklet (8)'!M36+'6a.melléklet (9)'!D36+'6a.melléklet (9)'!G36+'6a.melléklet (9)'!J36+'6a.melléklet (9)'!M36+'6a.melléklet (10)'!D36+'6a.melléklet (10)'!G36+'6a.melléklet (10)'!J36</f>
        <v>49470</v>
      </c>
    </row>
    <row r="37" spans="1:13" s="825" customFormat="1" ht="12.75">
      <c r="A37" s="162" t="s">
        <v>396</v>
      </c>
      <c r="B37" s="37">
        <f aca="true" t="shared" si="7" ref="B37:L37">SUM(B25:B34)</f>
        <v>203670</v>
      </c>
      <c r="C37" s="37">
        <f t="shared" si="7"/>
        <v>8574</v>
      </c>
      <c r="D37" s="37">
        <f t="shared" si="7"/>
        <v>212244</v>
      </c>
      <c r="E37" s="37">
        <f t="shared" si="7"/>
        <v>379347</v>
      </c>
      <c r="F37" s="37">
        <f t="shared" si="7"/>
        <v>45010</v>
      </c>
      <c r="G37" s="37">
        <f t="shared" si="7"/>
        <v>424357</v>
      </c>
      <c r="H37" s="37">
        <f t="shared" si="7"/>
        <v>559645</v>
      </c>
      <c r="I37" s="37">
        <f t="shared" si="7"/>
        <v>11944</v>
      </c>
      <c r="J37" s="37">
        <f t="shared" si="7"/>
        <v>571589</v>
      </c>
      <c r="K37" s="37">
        <f t="shared" si="7"/>
        <v>7087927</v>
      </c>
      <c r="L37" s="50">
        <f t="shared" si="7"/>
        <v>498340</v>
      </c>
      <c r="M37" s="50">
        <f>'6a.melléklet (1)'!D37+'6a.melléklet (1)'!G37+'6a.melléklet (1)'!J37+'6a.melléklet (1)'!M37+'6a.melléklet (2)'!D37+'6a.melléklet (2)'!G37+'6a.melléklet (2)'!J37+'6a.melléklet (2)'!M37+'6a.melléklet (3)'!D37+'6a.melléklet (3)'!G37+'6a.melléklet (3)'!J37+'6a.melléklet (3)'!M37+'6a.melléklet (4)'!D37+'6a.melléklet (4)'!G37+'6a.melléklet (4)'!J37+'6a.melléklet (4)'!M37+'6a.melléklet (5)'!D37+'6a.melléklet (5)'!G37+'6a.melléklet (5)'!J37+'6a.melléklet (5)'!M37+'6a.melléklet (6)'!D37+'6a.melléklet (6)'!G37+'6a.melléklet (6)'!J37+'6a.melléklet (6)'!M37+'6a.melléklet (7)'!D37+'6a.melléklet (7)'!G37+'6a.melléklet (7)'!J37+'6a.melléklet (7)'!M37+'6a.melléklet (8)'!D37+'6a.melléklet (8)'!G37+'6a.melléklet (8)'!J37+'6a.melléklet (8)'!M37+'6a.melléklet (9)'!D37+'6a.melléklet (9)'!G37+'6a.melléklet (9)'!J37+'6a.melléklet (9)'!M37+'6a.melléklet (10)'!D37+'6a.melléklet (10)'!G37+'6a.melléklet (10)'!J37</f>
        <v>7586267</v>
      </c>
    </row>
    <row r="39" spans="2:5" ht="12.75">
      <c r="B39" s="827"/>
      <c r="C39" s="827"/>
      <c r="E39" s="827"/>
    </row>
  </sheetData>
  <mergeCells count="13">
    <mergeCell ref="L3:M3"/>
    <mergeCell ref="A2:M2"/>
    <mergeCell ref="I3:J3"/>
    <mergeCell ref="B6:D6"/>
    <mergeCell ref="B4:D4"/>
    <mergeCell ref="E4:G4"/>
    <mergeCell ref="H6:J6"/>
    <mergeCell ref="H4:J4"/>
    <mergeCell ref="E7:G7"/>
    <mergeCell ref="K4:M4"/>
    <mergeCell ref="B8:M8"/>
    <mergeCell ref="B7:D7"/>
    <mergeCell ref="H7:J7"/>
  </mergeCells>
  <printOptions horizontalCentered="1"/>
  <pageMargins left="0.3937007874015748" right="0.3937007874015748" top="0.31496062992125984" bottom="0.31496062992125984" header="0.11811023622047245" footer="0"/>
  <pageSetup horizontalDpi="300" verticalDpi="300" orientation="landscape" paperSize="9" r:id="rId1"/>
  <headerFooter alignWithMargins="0">
    <oddHeader>&amp;C&amp;"Times New Roman,Normál"10&amp;R&amp;"Times New Roman,Normál"6/a.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57421875" style="143" customWidth="1"/>
    <col min="2" max="2" width="38.140625" style="142" customWidth="1"/>
    <col min="3" max="3" width="9.8515625" style="142" customWidth="1"/>
    <col min="4" max="4" width="11.00390625" style="142" customWidth="1"/>
    <col min="5" max="5" width="11.140625" style="142" customWidth="1"/>
    <col min="6" max="6" width="8.8515625" style="168" customWidth="1"/>
    <col min="7" max="7" width="11.140625" style="168" customWidth="1"/>
    <col min="8" max="16384" width="9.140625" style="41" customWidth="1"/>
  </cols>
  <sheetData>
    <row r="1" spans="1:7" s="175" customFormat="1" ht="19.5">
      <c r="A1" s="862" t="s">
        <v>285</v>
      </c>
      <c r="B1" s="862"/>
      <c r="C1" s="862"/>
      <c r="D1" s="862"/>
      <c r="E1" s="862"/>
      <c r="F1" s="862"/>
      <c r="G1" s="862"/>
    </row>
    <row r="2" spans="1:7" s="175" customFormat="1" ht="19.5">
      <c r="A2" s="862" t="s">
        <v>483</v>
      </c>
      <c r="B2" s="862"/>
      <c r="C2" s="862"/>
      <c r="D2" s="862"/>
      <c r="E2" s="862"/>
      <c r="F2" s="862"/>
      <c r="G2" s="862"/>
    </row>
    <row r="3" spans="1:7" s="612" customFormat="1" ht="12">
      <c r="A3" s="656"/>
      <c r="B3" s="657"/>
      <c r="C3" s="657"/>
      <c r="D3" s="657"/>
      <c r="E3" s="657"/>
      <c r="F3" s="147"/>
      <c r="G3" s="656" t="s">
        <v>377</v>
      </c>
    </row>
    <row r="4" spans="1:7" s="754" customFormat="1" ht="37.5" customHeight="1">
      <c r="A4" s="514" t="s">
        <v>215</v>
      </c>
      <c r="B4" s="514" t="s">
        <v>378</v>
      </c>
      <c r="C4" s="713" t="s">
        <v>637</v>
      </c>
      <c r="D4" s="712" t="s">
        <v>570</v>
      </c>
      <c r="E4" s="712" t="s">
        <v>635</v>
      </c>
      <c r="F4" s="520" t="s">
        <v>572</v>
      </c>
      <c r="G4" s="712" t="s">
        <v>716</v>
      </c>
    </row>
    <row r="5" spans="1:7" s="612" customFormat="1" ht="12.75" customHeight="1">
      <c r="A5" s="118" t="s">
        <v>208</v>
      </c>
      <c r="B5" s="48" t="s">
        <v>209</v>
      </c>
      <c r="C5" s="557" t="s">
        <v>210</v>
      </c>
      <c r="D5" s="557" t="s">
        <v>182</v>
      </c>
      <c r="E5" s="557" t="s">
        <v>183</v>
      </c>
      <c r="F5" s="557" t="s">
        <v>184</v>
      </c>
      <c r="G5" s="557" t="s">
        <v>185</v>
      </c>
    </row>
    <row r="6" spans="1:7" ht="11.25" customHeight="1">
      <c r="A6" s="100"/>
      <c r="B6" s="59" t="s">
        <v>192</v>
      </c>
      <c r="C6" s="176">
        <f>SUM('3.számú melléklet'!C8+'4.számú melléklet'!C9)</f>
        <v>2337.5</v>
      </c>
      <c r="D6" s="176">
        <f>SUM('3.számú melléklet'!D8+'4.számú melléklet'!D9)</f>
        <v>2337.5</v>
      </c>
      <c r="E6" s="176">
        <f>SUM('3.számú melléklet'!E8+'4.számú melléklet'!E9)</f>
        <v>2323.5</v>
      </c>
      <c r="F6" s="176"/>
      <c r="G6" s="176">
        <v>2323.5</v>
      </c>
    </row>
    <row r="7" spans="1:7" ht="25.5" customHeight="1">
      <c r="A7" s="100"/>
      <c r="B7" s="786" t="s">
        <v>650</v>
      </c>
      <c r="C7" s="176"/>
      <c r="D7" s="176"/>
      <c r="E7" s="782">
        <v>2323.5</v>
      </c>
      <c r="F7" s="782">
        <v>8</v>
      </c>
      <c r="G7" s="782">
        <f>SUM(E7:F7)</f>
        <v>2331.5</v>
      </c>
    </row>
    <row r="8" spans="1:7" ht="25.5" customHeight="1">
      <c r="A8" s="100"/>
      <c r="B8" s="786" t="s">
        <v>653</v>
      </c>
      <c r="C8" s="176"/>
      <c r="D8" s="176"/>
      <c r="E8" s="782">
        <v>2331.5</v>
      </c>
      <c r="F8" s="782">
        <v>-3</v>
      </c>
      <c r="G8" s="782">
        <f>SUM(E8:F8)</f>
        <v>2328.5</v>
      </c>
    </row>
    <row r="9" spans="1:7" ht="25.5">
      <c r="A9" s="100"/>
      <c r="B9" s="786" t="s">
        <v>652</v>
      </c>
      <c r="C9" s="176"/>
      <c r="D9" s="176"/>
      <c r="E9" s="782">
        <v>2328.5</v>
      </c>
      <c r="F9" s="782">
        <v>3</v>
      </c>
      <c r="G9" s="782">
        <f>SUM(E9:F9)</f>
        <v>2331.5</v>
      </c>
    </row>
    <row r="10" spans="1:7" ht="25.5">
      <c r="A10" s="100"/>
      <c r="B10" s="786" t="s">
        <v>651</v>
      </c>
      <c r="C10" s="176"/>
      <c r="D10" s="176"/>
      <c r="E10" s="782">
        <v>2331.5</v>
      </c>
      <c r="F10" s="782">
        <v>-3</v>
      </c>
      <c r="G10" s="782">
        <f>SUM(E10:F10)</f>
        <v>2328.5</v>
      </c>
    </row>
    <row r="11" spans="1:7" ht="11.25" customHeight="1">
      <c r="A11" s="100"/>
      <c r="B11" s="796" t="s">
        <v>654</v>
      </c>
      <c r="C11" s="176">
        <v>2337.5</v>
      </c>
      <c r="D11" s="176">
        <v>2337.5</v>
      </c>
      <c r="E11" s="176">
        <v>2331.5</v>
      </c>
      <c r="F11" s="176">
        <v>-3</v>
      </c>
      <c r="G11" s="176">
        <f>SUM(E11:F11)</f>
        <v>2328.5</v>
      </c>
    </row>
    <row r="12" spans="1:7" s="25" customFormat="1" ht="12.75">
      <c r="A12" s="14" t="s">
        <v>208</v>
      </c>
      <c r="B12" s="36" t="s">
        <v>167</v>
      </c>
      <c r="C12" s="37">
        <f>SUM('3.számú melléklet'!C10+'4.számú melléklet'!C15)</f>
        <v>5535642</v>
      </c>
      <c r="D12" s="37">
        <f>SUM('3.számú melléklet'!D10+'4.számú melléklet'!D15)</f>
        <v>5624957</v>
      </c>
      <c r="E12" s="37">
        <f>SUM('3.számú melléklet'!E10+'4.számú melléklet'!E15)</f>
        <v>5649522</v>
      </c>
      <c r="F12" s="37">
        <f>SUM('3.számú melléklet'!F10+'4.számú melléklet'!F15)</f>
        <v>166842</v>
      </c>
      <c r="G12" s="37">
        <f>SUM('3.számú melléklet'!G10+'4.számú melléklet'!G15)</f>
        <v>5816364</v>
      </c>
    </row>
    <row r="13" spans="1:7" s="25" customFormat="1" ht="12.75" customHeight="1">
      <c r="A13" s="14" t="s">
        <v>209</v>
      </c>
      <c r="B13" s="36" t="s">
        <v>168</v>
      </c>
      <c r="C13" s="37">
        <f>SUM('3.számú melléklet'!C11+'4.számú melléklet'!C16)</f>
        <v>1777960</v>
      </c>
      <c r="D13" s="37">
        <f>SUM('3.számú melléklet'!D11+'4.számú melléklet'!D16)</f>
        <v>1806047</v>
      </c>
      <c r="E13" s="37">
        <f>SUM('3.számú melléklet'!E11+'4.számú melléklet'!E16)</f>
        <v>1810027</v>
      </c>
      <c r="F13" s="37">
        <f>SUM('3.számú melléklet'!F11+'4.számú melléklet'!F16)</f>
        <v>53829</v>
      </c>
      <c r="G13" s="37">
        <f>SUM('3.számú melléklet'!G11+'4.számú melléklet'!G16)</f>
        <v>1863856</v>
      </c>
    </row>
    <row r="14" spans="1:7" s="25" customFormat="1" ht="12.75">
      <c r="A14" s="14" t="s">
        <v>210</v>
      </c>
      <c r="B14" s="36" t="s">
        <v>169</v>
      </c>
      <c r="C14" s="37">
        <f>SUM('3.számú melléklet'!C16+'4.számú melléklet'!C17)</f>
        <v>4910858</v>
      </c>
      <c r="D14" s="37">
        <f>SUM('3.számú melléklet'!D16+'4.számú melléklet'!D17)</f>
        <v>5368231</v>
      </c>
      <c r="E14" s="37">
        <f>SUM('3.számú melléklet'!E16+'4.számú melléklet'!E17)</f>
        <v>5563640</v>
      </c>
      <c r="F14" s="37">
        <f>SUM('3.számú melléklet'!F16+'4.számú melléklet'!F17)</f>
        <v>146868</v>
      </c>
      <c r="G14" s="37">
        <f>SUM('3.számú melléklet'!G16+'4.számú melléklet'!G17)</f>
        <v>5710508</v>
      </c>
    </row>
    <row r="15" spans="1:7" s="25" customFormat="1" ht="25.5">
      <c r="A15" s="14" t="s">
        <v>182</v>
      </c>
      <c r="B15" s="36" t="s">
        <v>64</v>
      </c>
      <c r="C15" s="50">
        <f>SUM(C16,C18)</f>
        <v>498626</v>
      </c>
      <c r="D15" s="50">
        <f>SUM(D16,D18)</f>
        <v>983539</v>
      </c>
      <c r="E15" s="50">
        <f>SUM(E16,E18)</f>
        <v>988701</v>
      </c>
      <c r="F15" s="50">
        <f>SUM(F16,F18)</f>
        <v>490</v>
      </c>
      <c r="G15" s="50">
        <f>SUM(G16,G18)</f>
        <v>989191</v>
      </c>
    </row>
    <row r="16" spans="1:7" ht="12.75" customHeight="1">
      <c r="A16" s="63"/>
      <c r="B16" s="177" t="s">
        <v>235</v>
      </c>
      <c r="C16" s="64">
        <f>SUM('3.számú melléklet'!C18+'4.számú melléklet'!C18)</f>
        <v>120170</v>
      </c>
      <c r="D16" s="64">
        <f>SUM('3.számú melléklet'!D18+'4.számú melléklet'!D18)</f>
        <v>523281</v>
      </c>
      <c r="E16" s="64">
        <f>SUM('3.számú melléklet'!E18+'4.számú melléklet'!E18)</f>
        <v>523536</v>
      </c>
      <c r="F16" s="64">
        <f>SUM('3.számú melléklet'!F18+'4.számú melléklet'!F18)</f>
        <v>50</v>
      </c>
      <c r="G16" s="64">
        <f>SUM('3.számú melléklet'!G18+'4.számú melléklet'!G18)</f>
        <v>523586</v>
      </c>
    </row>
    <row r="17" spans="1:7" ht="12.75" customHeight="1">
      <c r="A17" s="65"/>
      <c r="B17" s="95" t="s">
        <v>288</v>
      </c>
      <c r="C17" s="45">
        <f>SUM('3.számú melléklet'!C19+'4.számú melléklet'!C20)</f>
        <v>0</v>
      </c>
      <c r="D17" s="45">
        <f>SUM('3.számú melléklet'!D19+'4.számú melléklet'!D20)</f>
        <v>403111</v>
      </c>
      <c r="E17" s="45">
        <f>SUM('3.számú melléklet'!E19+'4.számú melléklet'!E20)</f>
        <v>403111</v>
      </c>
      <c r="F17" s="45">
        <f>SUM('3.számú melléklet'!F19+'4.számú melléklet'!F20)</f>
        <v>0</v>
      </c>
      <c r="G17" s="45">
        <f>SUM('3.számú melléklet'!G19+'4.számú melléklet'!G20)</f>
        <v>403111</v>
      </c>
    </row>
    <row r="18" spans="1:7" ht="25.5">
      <c r="A18" s="15"/>
      <c r="B18" s="52" t="s">
        <v>236</v>
      </c>
      <c r="C18" s="42">
        <f>SUM('3.számú melléklet'!C20+'4.számú melléklet'!C21)</f>
        <v>378456</v>
      </c>
      <c r="D18" s="42">
        <f>SUM('3.számú melléklet'!D20+'4.számú melléklet'!D21)</f>
        <v>460258</v>
      </c>
      <c r="E18" s="42">
        <f>SUM('3.számú melléklet'!E20+'4.számú melléklet'!E21)</f>
        <v>465165</v>
      </c>
      <c r="F18" s="42">
        <f>SUM('3.számú melléklet'!F20+'4.számú melléklet'!F21)</f>
        <v>440</v>
      </c>
      <c r="G18" s="42">
        <f>SUM('3.számú melléklet'!G20+'4.számú melléklet'!G21)</f>
        <v>465605</v>
      </c>
    </row>
    <row r="19" spans="1:7" s="25" customFormat="1" ht="12" customHeight="1">
      <c r="A19" s="14" t="s">
        <v>183</v>
      </c>
      <c r="B19" s="36" t="s">
        <v>180</v>
      </c>
      <c r="C19" s="37">
        <f>SUM('3.számú melléklet'!C21+'4.számú melléklet'!C26)</f>
        <v>573307</v>
      </c>
      <c r="D19" s="37">
        <f>SUM('3.számú melléklet'!D21+'4.számú melléklet'!D26)</f>
        <v>575750</v>
      </c>
      <c r="E19" s="37">
        <f>SUM('3.számú melléklet'!E21+'4.számú melléklet'!E26)</f>
        <v>592841</v>
      </c>
      <c r="F19" s="37">
        <f>SUM('3.számú melléklet'!F21+'4.számú melléklet'!F26)</f>
        <v>826</v>
      </c>
      <c r="G19" s="37">
        <f>SUM('3.számú melléklet'!G21+'4.számú melléklet'!G26)</f>
        <v>593667</v>
      </c>
    </row>
    <row r="20" spans="1:7" s="25" customFormat="1" ht="12" customHeight="1">
      <c r="A20" s="14" t="s">
        <v>184</v>
      </c>
      <c r="B20" s="36" t="s">
        <v>384</v>
      </c>
      <c r="C20" s="37">
        <f>SUM('3.számú melléklet'!C22+'4.számú melléklet'!C27)</f>
        <v>32965</v>
      </c>
      <c r="D20" s="37">
        <f>SUM('3.számú melléklet'!D22+'4.számú melléklet'!D27)</f>
        <v>33185</v>
      </c>
      <c r="E20" s="37">
        <f>SUM('3.számú melléklet'!E22+'4.számú melléklet'!E27)</f>
        <v>33545</v>
      </c>
      <c r="F20" s="37">
        <f>SUM('3.számú melléklet'!F22+'4.számú melléklet'!F27)</f>
        <v>0</v>
      </c>
      <c r="G20" s="37">
        <f>SUM('3.számú melléklet'!G22+'4.számú melléklet'!G27)</f>
        <v>33545</v>
      </c>
    </row>
    <row r="21" spans="1:7" s="35" customFormat="1" ht="13.5">
      <c r="A21" s="19" t="s">
        <v>80</v>
      </c>
      <c r="B21" s="34" t="s">
        <v>125</v>
      </c>
      <c r="C21" s="8">
        <f>SUM(C12,C13,C14,C15,C19,C20)</f>
        <v>13329358</v>
      </c>
      <c r="D21" s="8">
        <f>SUM(D12,D13,D14,D15,D19,D20)</f>
        <v>14391709</v>
      </c>
      <c r="E21" s="8">
        <f>SUM(E12,E13,E14,E15,E19,E20)</f>
        <v>14638276</v>
      </c>
      <c r="F21" s="8">
        <f>SUM(F12,F13,F14,F15,F19,F20)</f>
        <v>368855</v>
      </c>
      <c r="G21" s="8">
        <f>SUM(G12,G13,G14,G15,G19,G20)</f>
        <v>15007131</v>
      </c>
    </row>
    <row r="22" spans="1:7" s="25" customFormat="1" ht="12.75">
      <c r="A22" s="15"/>
      <c r="B22" s="39" t="s">
        <v>69</v>
      </c>
      <c r="C22" s="42">
        <f>SUM('3.számú melléklet'!C24+'4.számú melléklet'!C29)</f>
        <v>6000</v>
      </c>
      <c r="D22" s="42">
        <f>SUM('3.számú melléklet'!D24+'4.számú melléklet'!D29)</f>
        <v>1036551</v>
      </c>
      <c r="E22" s="42">
        <f>SUM('3.számú melléklet'!E24+'4.számú melléklet'!E29)</f>
        <v>1101087</v>
      </c>
      <c r="F22" s="42">
        <f>SUM('3.számú melléklet'!F24+'4.számú melléklet'!F29)</f>
        <v>588940</v>
      </c>
      <c r="G22" s="42">
        <f>SUM('3.számú melléklet'!G24+'4.számú melléklet'!G29)</f>
        <v>1690027</v>
      </c>
    </row>
    <row r="23" spans="1:7" s="25" customFormat="1" ht="12.75" customHeight="1">
      <c r="A23" s="15"/>
      <c r="B23" s="39" t="s">
        <v>342</v>
      </c>
      <c r="C23" s="42">
        <f>SUM('4.számú melléklet'!C30)</f>
        <v>64372</v>
      </c>
      <c r="D23" s="42">
        <f>SUM('4.számú melléklet'!D30)</f>
        <v>176576</v>
      </c>
      <c r="E23" s="42">
        <f>SUM('4.számú melléklet'!E30)</f>
        <v>192186</v>
      </c>
      <c r="F23" s="42">
        <f>SUM('4.számú melléklet'!F30)</f>
        <v>1851</v>
      </c>
      <c r="G23" s="42">
        <f>SUM('4.számú melléklet'!G30)</f>
        <v>194037</v>
      </c>
    </row>
    <row r="24" spans="1:7" s="25" customFormat="1" ht="12.75">
      <c r="A24" s="15"/>
      <c r="B24" s="39" t="s">
        <v>70</v>
      </c>
      <c r="C24" s="42">
        <f>SUM('4.számú melléklet'!C31)</f>
        <v>0</v>
      </c>
      <c r="D24" s="42">
        <f>SUM('4.számú melléklet'!D31)</f>
        <v>234182</v>
      </c>
      <c r="E24" s="42">
        <f>SUM('4.számú melléklet'!E31)</f>
        <v>199182</v>
      </c>
      <c r="F24" s="42">
        <f>SUM('4.számú melléklet'!F31)</f>
        <v>123304</v>
      </c>
      <c r="G24" s="42">
        <f>SUM('4.számú melléklet'!G31)</f>
        <v>322486</v>
      </c>
    </row>
    <row r="25" spans="1:7" s="25" customFormat="1" ht="12.75">
      <c r="A25" s="15"/>
      <c r="B25" s="39" t="s">
        <v>71</v>
      </c>
      <c r="C25" s="42">
        <f>SUM('4.számú melléklet'!C32)</f>
        <v>0</v>
      </c>
      <c r="D25" s="42">
        <f>SUM('4.számú melléklet'!D32)</f>
        <v>38897</v>
      </c>
      <c r="E25" s="42">
        <f>SUM('4.számú melléklet'!E32)</f>
        <v>38897</v>
      </c>
      <c r="F25" s="42">
        <f>SUM('4.számú melléklet'!F32)</f>
        <v>28000</v>
      </c>
      <c r="G25" s="42">
        <f>SUM('4.számú melléklet'!G32)</f>
        <v>66897</v>
      </c>
    </row>
    <row r="26" spans="1:7" s="25" customFormat="1" ht="12.75">
      <c r="A26" s="14" t="s">
        <v>185</v>
      </c>
      <c r="B26" s="36" t="s">
        <v>361</v>
      </c>
      <c r="C26" s="37">
        <f>SUM(C22:C25)</f>
        <v>70372</v>
      </c>
      <c r="D26" s="37">
        <f>SUM(D22:D25)</f>
        <v>1486206</v>
      </c>
      <c r="E26" s="37">
        <f>SUM(E22:E25)</f>
        <v>1531352</v>
      </c>
      <c r="F26" s="37">
        <f>SUM(F22:F25)</f>
        <v>742095</v>
      </c>
      <c r="G26" s="37">
        <f>SUM(G22:G25)</f>
        <v>2273447</v>
      </c>
    </row>
    <row r="27" spans="1:7" s="25" customFormat="1" ht="12.75">
      <c r="A27" s="14" t="s">
        <v>186</v>
      </c>
      <c r="B27" s="36" t="s">
        <v>72</v>
      </c>
      <c r="C27" s="37">
        <f>SUM('3.számú melléklet'!C25+'4.számú melléklet'!C34)</f>
        <v>78196</v>
      </c>
      <c r="D27" s="37">
        <f>SUM('3.számú melléklet'!D25+'4.számú melléklet'!D34)</f>
        <v>139963</v>
      </c>
      <c r="E27" s="37">
        <f>SUM('3.számú melléklet'!E25+'4.számú melléklet'!E34)</f>
        <v>167413</v>
      </c>
      <c r="F27" s="37">
        <f>SUM('3.számú melléklet'!F25+'4.számú melléklet'!F34)</f>
        <v>15665</v>
      </c>
      <c r="G27" s="37">
        <f>SUM('3.számú melléklet'!G25+'4.számú melléklet'!G34)</f>
        <v>183078</v>
      </c>
    </row>
    <row r="28" spans="1:7" s="25" customFormat="1" ht="12.75">
      <c r="A28" s="14" t="s">
        <v>187</v>
      </c>
      <c r="B28" s="36" t="s">
        <v>73</v>
      </c>
      <c r="C28" s="37">
        <f>SUM('4.számú melléklet'!C35)</f>
        <v>161105</v>
      </c>
      <c r="D28" s="37">
        <f>SUM('4.számú melléklet'!D35)</f>
        <v>2197417</v>
      </c>
      <c r="E28" s="37">
        <f>SUM('4.számú melléklet'!E35)</f>
        <v>2190147</v>
      </c>
      <c r="F28" s="37">
        <f>SUM('4.számú melléklet'!F35)</f>
        <v>42306</v>
      </c>
      <c r="G28" s="37">
        <f>SUM('4.számú melléklet'!G35)</f>
        <v>2232453</v>
      </c>
    </row>
    <row r="29" spans="1:7" s="25" customFormat="1" ht="12.75">
      <c r="A29" s="14" t="s">
        <v>188</v>
      </c>
      <c r="B29" s="36" t="s">
        <v>86</v>
      </c>
      <c r="C29" s="37">
        <f>SUM('4.számú melléklet'!C36)</f>
        <v>0</v>
      </c>
      <c r="D29" s="37">
        <f>SUM('4.számú melléklet'!D36)</f>
        <v>0</v>
      </c>
      <c r="E29" s="37">
        <f>SUM('4.számú melléklet'!E36)</f>
        <v>0</v>
      </c>
      <c r="F29" s="37">
        <f>SUM('4.számú melléklet'!F36)</f>
        <v>250</v>
      </c>
      <c r="G29" s="37">
        <f>SUM('4.számú melléklet'!G36)</f>
        <v>250</v>
      </c>
    </row>
    <row r="30" spans="1:7" s="25" customFormat="1" ht="25.5">
      <c r="A30" s="14" t="s">
        <v>189</v>
      </c>
      <c r="B30" s="36" t="s">
        <v>65</v>
      </c>
      <c r="C30" s="50">
        <f>SUM(C31,C33)</f>
        <v>140523</v>
      </c>
      <c r="D30" s="50">
        <f>SUM(D31,D33)</f>
        <v>2539035</v>
      </c>
      <c r="E30" s="50">
        <f>SUM(E31,E33)</f>
        <v>2537591</v>
      </c>
      <c r="F30" s="50">
        <f>SUM(F31,F33)</f>
        <v>-1096033</v>
      </c>
      <c r="G30" s="50">
        <f>SUM(G31,G33)</f>
        <v>1441558</v>
      </c>
    </row>
    <row r="31" spans="1:7" ht="12.75">
      <c r="A31" s="63"/>
      <c r="B31" s="177" t="s">
        <v>237</v>
      </c>
      <c r="C31" s="64">
        <f>SUM('3.számú melléklet'!C27+'4.számú melléklet'!C37)</f>
        <v>101743</v>
      </c>
      <c r="D31" s="64">
        <f>SUM('3.számú melléklet'!D27+'4.számú melléklet'!D37)</f>
        <v>1981230</v>
      </c>
      <c r="E31" s="64">
        <f>SUM('3.számú melléklet'!E27+'4.számú melléklet'!E37)</f>
        <v>1981230</v>
      </c>
      <c r="F31" s="64">
        <f>SUM('3.számú melléklet'!F27+'4.számú melléklet'!F37)</f>
        <v>-1190107</v>
      </c>
      <c r="G31" s="64">
        <f>SUM('3.számú melléklet'!G27+'4.számú melléklet'!G37)</f>
        <v>791123</v>
      </c>
    </row>
    <row r="32" spans="1:7" ht="12.75">
      <c r="A32" s="65"/>
      <c r="B32" s="95" t="s">
        <v>288</v>
      </c>
      <c r="C32" s="45">
        <f>SUM('3.számú melléklet'!C28+'4.számú melléklet'!C39)</f>
        <v>0</v>
      </c>
      <c r="D32" s="45">
        <f>SUM('3.számú melléklet'!D28+'4.számú melléklet'!D39)</f>
        <v>171683</v>
      </c>
      <c r="E32" s="45">
        <f>SUM('3.számú melléklet'!E28+'4.számú melléklet'!E39)</f>
        <v>171683</v>
      </c>
      <c r="F32" s="45">
        <f>SUM('3.számú melléklet'!F28+'4.számú melléklet'!F39)</f>
        <v>0</v>
      </c>
      <c r="G32" s="45">
        <f>SUM('3.számú melléklet'!G28+'4.számú melléklet'!G39)</f>
        <v>171683</v>
      </c>
    </row>
    <row r="33" spans="1:7" ht="25.5" customHeight="1">
      <c r="A33" s="15"/>
      <c r="B33" s="52" t="s">
        <v>59</v>
      </c>
      <c r="C33" s="42">
        <f>SUM('3.számú melléklet'!C29+'4.számú melléklet'!C41)</f>
        <v>38780</v>
      </c>
      <c r="D33" s="42">
        <f>SUM('3.számú melléklet'!D29+'4.számú melléklet'!D41)</f>
        <v>557805</v>
      </c>
      <c r="E33" s="42">
        <f>SUM('3.számú melléklet'!E29+'4.számú melléklet'!E41)</f>
        <v>556361</v>
      </c>
      <c r="F33" s="42">
        <f>SUM('3.számú melléklet'!F29+'4.számú melléklet'!F41)</f>
        <v>94074</v>
      </c>
      <c r="G33" s="42">
        <f>SUM('3.számú melléklet'!G29+'4.számú melléklet'!G41)</f>
        <v>650435</v>
      </c>
    </row>
    <row r="34" spans="1:7" s="35" customFormat="1" ht="24.75" customHeight="1">
      <c r="A34" s="19" t="s">
        <v>329</v>
      </c>
      <c r="B34" s="34" t="s">
        <v>99</v>
      </c>
      <c r="C34" s="8">
        <f>SUM(C26,C27,C28,C29,C30)</f>
        <v>450196</v>
      </c>
      <c r="D34" s="8">
        <f>SUM(D26,D27,D28,D29,D30)</f>
        <v>6362621</v>
      </c>
      <c r="E34" s="8">
        <f>SUM(E26,E27,E28,E29,E30)</f>
        <v>6426503</v>
      </c>
      <c r="F34" s="8">
        <f>SUM(F26,F27,F28,F29,F30)</f>
        <v>-295717</v>
      </c>
      <c r="G34" s="8">
        <f>SUM(G26,G27,G28,G29,G30)</f>
        <v>6130786</v>
      </c>
    </row>
    <row r="35" spans="1:7" s="35" customFormat="1" ht="12.75" customHeight="1">
      <c r="A35" s="19"/>
      <c r="B35" s="39" t="s">
        <v>467</v>
      </c>
      <c r="C35" s="40">
        <f>SUM('4.számú melléklet'!C49)</f>
        <v>0</v>
      </c>
      <c r="D35" s="40">
        <f>SUM('4.számú melléklet'!D49)</f>
        <v>0</v>
      </c>
      <c r="E35" s="40">
        <f>SUM('4.számú melléklet'!E49)</f>
        <v>0</v>
      </c>
      <c r="F35" s="40">
        <f>SUM('4.számú melléklet'!F49)</f>
        <v>0</v>
      </c>
      <c r="G35" s="40">
        <f>SUM('4.számú melléklet'!G49)</f>
        <v>0</v>
      </c>
    </row>
    <row r="36" spans="1:7" s="35" customFormat="1" ht="12.75" customHeight="1">
      <c r="A36" s="19"/>
      <c r="B36" s="98" t="s">
        <v>57</v>
      </c>
      <c r="C36" s="40">
        <f>SUM('4.számú melléklet'!C50)</f>
        <v>8912</v>
      </c>
      <c r="D36" s="40">
        <f>SUM('4.számú melléklet'!D50)</f>
        <v>12133</v>
      </c>
      <c r="E36" s="40">
        <f>SUM('4.számú melléklet'!E50)</f>
        <v>12133</v>
      </c>
      <c r="F36" s="40">
        <f>SUM('4.számú melléklet'!F50)</f>
        <v>61000</v>
      </c>
      <c r="G36" s="40">
        <f>SUM('4.számú melléklet'!G50)</f>
        <v>73133</v>
      </c>
    </row>
    <row r="37" spans="1:7" s="35" customFormat="1" ht="13.5" customHeight="1">
      <c r="A37" s="99" t="s">
        <v>340</v>
      </c>
      <c r="B37" s="178" t="s">
        <v>47</v>
      </c>
      <c r="C37" s="115">
        <f>SUM(C35:C36)</f>
        <v>8912</v>
      </c>
      <c r="D37" s="115">
        <f>SUM(D35:D36)</f>
        <v>12133</v>
      </c>
      <c r="E37" s="115">
        <f>SUM(E35:E36)</f>
        <v>12133</v>
      </c>
      <c r="F37" s="115">
        <f>SUM(F35:F36)</f>
        <v>61000</v>
      </c>
      <c r="G37" s="115">
        <f>SUM(G35:G36)</f>
        <v>73133</v>
      </c>
    </row>
    <row r="38" spans="1:7" s="35" customFormat="1" ht="13.5" customHeight="1">
      <c r="A38" s="14" t="s">
        <v>190</v>
      </c>
      <c r="B38" s="36" t="s">
        <v>258</v>
      </c>
      <c r="C38" s="115">
        <f>SUM('4.számú melléklet'!C54)</f>
        <v>1925832</v>
      </c>
      <c r="D38" s="115">
        <f>SUM('4.számú melléklet'!D54)</f>
        <v>0</v>
      </c>
      <c r="E38" s="115">
        <f>SUM('4.számú melléklet'!E54)</f>
        <v>0</v>
      </c>
      <c r="F38" s="115">
        <f>SUM('4.számú melléklet'!F54)</f>
        <v>0</v>
      </c>
      <c r="G38" s="115">
        <f>SUM('4.számú melléklet'!G54)</f>
        <v>0</v>
      </c>
    </row>
    <row r="39" spans="1:7" s="35" customFormat="1" ht="13.5" customHeight="1">
      <c r="A39" s="14" t="s">
        <v>191</v>
      </c>
      <c r="B39" s="179" t="s">
        <v>6</v>
      </c>
      <c r="C39" s="115">
        <f>SUM('4.számú melléklet'!C55)</f>
        <v>78000</v>
      </c>
      <c r="D39" s="115">
        <f>SUM('4.számú melléklet'!D55)</f>
        <v>63366</v>
      </c>
      <c r="E39" s="115">
        <f>SUM('4.számú melléklet'!E55)</f>
        <v>3445</v>
      </c>
      <c r="F39" s="115">
        <f>SUM('4.számú melléklet'!F55)</f>
        <v>-2073</v>
      </c>
      <c r="G39" s="115">
        <f>SUM('4.számú melléklet'!G55)</f>
        <v>1372</v>
      </c>
    </row>
    <row r="40" spans="1:7" s="35" customFormat="1" ht="13.5" customHeight="1">
      <c r="A40" s="14" t="s">
        <v>324</v>
      </c>
      <c r="B40" s="36" t="s">
        <v>452</v>
      </c>
      <c r="C40" s="115">
        <f>SUM('4.számú melléklet'!C56)</f>
        <v>941684</v>
      </c>
      <c r="D40" s="115">
        <f>SUM('4.számú melléklet'!D56)</f>
        <v>1932328</v>
      </c>
      <c r="E40" s="115">
        <f>SUM('4.számú melléklet'!E56)</f>
        <v>2065752</v>
      </c>
      <c r="F40" s="115">
        <f>SUM('4.számú melléklet'!F56)</f>
        <v>182</v>
      </c>
      <c r="G40" s="115">
        <f>SUM('4.számú melléklet'!G56)</f>
        <v>2065934</v>
      </c>
    </row>
    <row r="41" spans="1:7" s="35" customFormat="1" ht="13.5" customHeight="1">
      <c r="A41" s="19" t="s">
        <v>105</v>
      </c>
      <c r="B41" s="34" t="s">
        <v>100</v>
      </c>
      <c r="C41" s="38">
        <f>SUM(C38:C40)</f>
        <v>2945516</v>
      </c>
      <c r="D41" s="38">
        <f>SUM(D38:D40)</f>
        <v>1995694</v>
      </c>
      <c r="E41" s="38">
        <f>SUM(E38:E40)</f>
        <v>2069197</v>
      </c>
      <c r="F41" s="38">
        <f>SUM(F38:F40)</f>
        <v>-1891</v>
      </c>
      <c r="G41" s="38">
        <f>SUM(G38:G40)</f>
        <v>2067306</v>
      </c>
    </row>
    <row r="42" spans="1:7" s="35" customFormat="1" ht="13.5" customHeight="1">
      <c r="A42" s="19"/>
      <c r="B42" s="34" t="s">
        <v>625</v>
      </c>
      <c r="C42" s="38">
        <f>SUM(C21,C34,C37,C41)</f>
        <v>16733982</v>
      </c>
      <c r="D42" s="38">
        <f>SUM(D21,D34,D37,D41)</f>
        <v>22762157</v>
      </c>
      <c r="E42" s="38">
        <f>SUM(E21,E34,E37,E41)</f>
        <v>23146109</v>
      </c>
      <c r="F42" s="38">
        <f>SUM(F21,F34,F37,F41)</f>
        <v>132247</v>
      </c>
      <c r="G42" s="38">
        <f>SUM(G21,G34,G37,G41)</f>
        <v>23278356</v>
      </c>
    </row>
    <row r="43" spans="1:7" ht="12.75" customHeight="1">
      <c r="A43" s="15"/>
      <c r="B43" s="39" t="s">
        <v>252</v>
      </c>
      <c r="C43" s="40">
        <f>SUM('4.számú melléklet'!C59)</f>
        <v>76985</v>
      </c>
      <c r="D43" s="40">
        <f>SUM('4.számú melléklet'!D59)</f>
        <v>76985</v>
      </c>
      <c r="E43" s="40">
        <f>SUM('4.számú melléklet'!E59)</f>
        <v>76985</v>
      </c>
      <c r="F43" s="40">
        <f>SUM('4.számú melléklet'!F59)</f>
        <v>0</v>
      </c>
      <c r="G43" s="40">
        <f>SUM('4.számú melléklet'!G59)</f>
        <v>76985</v>
      </c>
    </row>
    <row r="44" spans="1:7" ht="24.75" customHeight="1">
      <c r="A44" s="15"/>
      <c r="B44" s="39" t="s">
        <v>257</v>
      </c>
      <c r="C44" s="40">
        <f>SUM('4.számú melléklet'!C60)</f>
        <v>135063</v>
      </c>
      <c r="D44" s="40">
        <f>SUM('4.számú melléklet'!D60)</f>
        <v>135063</v>
      </c>
      <c r="E44" s="40">
        <f>SUM('4.számú melléklet'!E60)</f>
        <v>135063</v>
      </c>
      <c r="F44" s="40">
        <f>SUM('4.számú melléklet'!F60)</f>
        <v>0</v>
      </c>
      <c r="G44" s="40">
        <f>SUM('4.számú melléklet'!G60)</f>
        <v>135063</v>
      </c>
    </row>
    <row r="45" spans="1:7" ht="12.75" customHeight="1">
      <c r="A45" s="15"/>
      <c r="B45" s="39" t="s">
        <v>253</v>
      </c>
      <c r="C45" s="40">
        <f>SUM('4.számú melléklet'!C61)</f>
        <v>0</v>
      </c>
      <c r="D45" s="40">
        <f>SUM('4.számú melléklet'!D61)</f>
        <v>0</v>
      </c>
      <c r="E45" s="40">
        <f>SUM('4.számú melléklet'!E61)</f>
        <v>0</v>
      </c>
      <c r="F45" s="40">
        <f>SUM('4.számú melléklet'!F61)</f>
        <v>0</v>
      </c>
      <c r="G45" s="40">
        <f>SUM('4.számú melléklet'!G61)</f>
        <v>0</v>
      </c>
    </row>
    <row r="46" spans="1:7" s="35" customFormat="1" ht="13.5">
      <c r="A46" s="19" t="s">
        <v>208</v>
      </c>
      <c r="B46" s="34" t="s">
        <v>362</v>
      </c>
      <c r="C46" s="8">
        <f>SUM(C43:C45)</f>
        <v>212048</v>
      </c>
      <c r="D46" s="8">
        <f>SUM(D43:D45)</f>
        <v>212048</v>
      </c>
      <c r="E46" s="8">
        <f>SUM(E43:E45)</f>
        <v>212048</v>
      </c>
      <c r="F46" s="8">
        <f>SUM(F43:F45)</f>
        <v>0</v>
      </c>
      <c r="G46" s="8">
        <f>SUM(G43:G45)</f>
        <v>212048</v>
      </c>
    </row>
    <row r="47" spans="1:7" s="35" customFormat="1" ht="12.75" customHeight="1">
      <c r="A47" s="51" t="s">
        <v>209</v>
      </c>
      <c r="B47" s="39" t="s">
        <v>626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s="35" customFormat="1" ht="13.5">
      <c r="A48" s="19" t="s">
        <v>373</v>
      </c>
      <c r="B48" s="34" t="s">
        <v>627</v>
      </c>
      <c r="C48" s="38">
        <f>SUM(C46:C47)</f>
        <v>212048</v>
      </c>
      <c r="D48" s="38">
        <f>SUM(D46:D47)</f>
        <v>212048</v>
      </c>
      <c r="E48" s="38">
        <f>SUM(E46:E47)</f>
        <v>212048</v>
      </c>
      <c r="F48" s="38">
        <f>SUM(F46:F47)</f>
        <v>0</v>
      </c>
      <c r="G48" s="38">
        <f>SUM(G46:G47)</f>
        <v>212048</v>
      </c>
    </row>
    <row r="49" spans="1:7" s="35" customFormat="1" ht="13.5">
      <c r="A49" s="132"/>
      <c r="B49" s="180" t="s">
        <v>633</v>
      </c>
      <c r="C49" s="181">
        <f>SUM(C42,C48)</f>
        <v>16946030</v>
      </c>
      <c r="D49" s="181">
        <f>SUM(D42,D48)</f>
        <v>22974205</v>
      </c>
      <c r="E49" s="181">
        <f>SUM(E42,E48)</f>
        <v>23358157</v>
      </c>
      <c r="F49" s="181">
        <f>SUM(F42,F48)</f>
        <v>132247</v>
      </c>
      <c r="G49" s="181">
        <f>SUM(G42,G48)</f>
        <v>23490404</v>
      </c>
    </row>
    <row r="50" spans="1:7" s="25" customFormat="1" ht="12.75" customHeight="1">
      <c r="A50" s="182" t="s">
        <v>411</v>
      </c>
      <c r="B50" s="183" t="s">
        <v>427</v>
      </c>
      <c r="C50" s="116">
        <f>SUM('4.számú melléklet'!C63)</f>
        <v>7171759</v>
      </c>
      <c r="D50" s="116">
        <f>SUM('4.számú melléklet'!D63)</f>
        <v>7932503</v>
      </c>
      <c r="E50" s="116">
        <f>SUM('4.számú melléklet'!E63)</f>
        <v>7939942</v>
      </c>
      <c r="F50" s="116">
        <f>SUM('4.számú melléklet'!F63)</f>
        <v>584681</v>
      </c>
      <c r="G50" s="116">
        <f>SUM('4.számú melléklet'!G63)</f>
        <v>8524623</v>
      </c>
    </row>
    <row r="51" spans="1:7" s="25" customFormat="1" ht="25.5">
      <c r="A51" s="99" t="s">
        <v>412</v>
      </c>
      <c r="B51" s="36" t="s">
        <v>345</v>
      </c>
      <c r="C51" s="37">
        <f>SUM('3.számú melléklet'!C47)*-1</f>
        <v>-7171759</v>
      </c>
      <c r="D51" s="37">
        <f>SUM('3.számú melléklet'!D47)*-1</f>
        <v>-7932503</v>
      </c>
      <c r="E51" s="37">
        <f>SUM('3.számú melléklet'!E47)*-1</f>
        <v>-7939942</v>
      </c>
      <c r="F51" s="37">
        <f>SUM('3.számú melléklet'!F47)*-1</f>
        <v>-584681</v>
      </c>
      <c r="G51" s="37">
        <f>SUM('3.számú melléklet'!G47)*-1</f>
        <v>-8524623</v>
      </c>
    </row>
    <row r="52" spans="1:7" s="35" customFormat="1" ht="13.5" customHeight="1">
      <c r="A52" s="19"/>
      <c r="B52" s="34" t="s">
        <v>634</v>
      </c>
      <c r="C52" s="8">
        <f>SUM(C49:C51)</f>
        <v>16946030</v>
      </c>
      <c r="D52" s="8">
        <f>SUM(D49:D51)</f>
        <v>22974205</v>
      </c>
      <c r="E52" s="8">
        <f>SUM(E49:E51)</f>
        <v>23358157</v>
      </c>
      <c r="F52" s="8">
        <f>SUM(F49:F51)</f>
        <v>132247</v>
      </c>
      <c r="G52" s="8">
        <f>SUM(G49:G51)</f>
        <v>23490404</v>
      </c>
    </row>
    <row r="53" spans="1:7" ht="12.75">
      <c r="A53" s="120"/>
      <c r="B53" s="184"/>
      <c r="C53" s="184"/>
      <c r="D53" s="184"/>
      <c r="E53" s="184"/>
      <c r="F53" s="120"/>
      <c r="G53" s="120"/>
    </row>
    <row r="54" spans="1:7" ht="12.75">
      <c r="A54" s="120"/>
      <c r="B54" s="184"/>
      <c r="C54" s="184"/>
      <c r="D54" s="184"/>
      <c r="E54" s="184"/>
      <c r="F54" s="120"/>
      <c r="G54" s="120"/>
    </row>
    <row r="55" spans="1:7" ht="12.75">
      <c r="A55" s="185"/>
      <c r="B55" s="184"/>
      <c r="C55" s="184"/>
      <c r="D55" s="184"/>
      <c r="E55" s="184"/>
      <c r="F55" s="120"/>
      <c r="G55" s="120"/>
    </row>
    <row r="56" spans="1:7" ht="12.75" customHeight="1">
      <c r="A56" s="185"/>
      <c r="B56" s="184"/>
      <c r="C56" s="184"/>
      <c r="D56" s="184"/>
      <c r="E56" s="184"/>
      <c r="F56" s="120"/>
      <c r="G56" s="120"/>
    </row>
    <row r="57" spans="1:7" ht="12.75" customHeight="1">
      <c r="A57" s="185"/>
      <c r="B57" s="184"/>
      <c r="C57" s="184"/>
      <c r="D57" s="184"/>
      <c r="E57" s="184"/>
      <c r="F57" s="120"/>
      <c r="G57" s="120"/>
    </row>
    <row r="58" spans="1:7" s="25" customFormat="1" ht="12.75">
      <c r="A58" s="173"/>
      <c r="B58" s="186"/>
      <c r="C58" s="186"/>
      <c r="D58" s="186"/>
      <c r="E58" s="186"/>
      <c r="F58" s="174"/>
      <c r="G58" s="174"/>
    </row>
    <row r="59" spans="1:7" ht="12.75">
      <c r="A59" s="185"/>
      <c r="B59" s="184"/>
      <c r="C59" s="184"/>
      <c r="D59" s="184"/>
      <c r="E59" s="184"/>
      <c r="F59" s="120"/>
      <c r="G59" s="120"/>
    </row>
    <row r="60" spans="1:7" ht="12.75">
      <c r="A60" s="185"/>
      <c r="B60" s="184"/>
      <c r="C60" s="184"/>
      <c r="D60" s="184"/>
      <c r="E60" s="184"/>
      <c r="F60" s="120"/>
      <c r="G60" s="120"/>
    </row>
    <row r="61" spans="1:7" s="25" customFormat="1" ht="12.75">
      <c r="A61" s="173"/>
      <c r="B61" s="186"/>
      <c r="C61" s="186"/>
      <c r="D61" s="186"/>
      <c r="E61" s="186"/>
      <c r="F61" s="174"/>
      <c r="G61" s="174"/>
    </row>
    <row r="62" spans="1:7" s="25" customFormat="1" ht="12.75">
      <c r="A62" s="173"/>
      <c r="B62" s="186"/>
      <c r="C62" s="186"/>
      <c r="D62" s="186"/>
      <c r="E62" s="186"/>
      <c r="F62" s="174"/>
      <c r="G62" s="174"/>
    </row>
    <row r="63" spans="1:7" s="25" customFormat="1" ht="12.75">
      <c r="A63" s="173"/>
      <c r="B63" s="186"/>
      <c r="C63" s="186"/>
      <c r="D63" s="186"/>
      <c r="E63" s="186"/>
      <c r="F63" s="174"/>
      <c r="G63" s="174"/>
    </row>
  </sheetData>
  <sheetProtection/>
  <mergeCells count="2">
    <mergeCell ref="A1:G1"/>
    <mergeCell ref="A2:G2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CE,Normál"2.számú melléklet
</oddHeader>
    <oddFooter>&amp;L&amp;"Times New Roman CE,Normál"&amp;8&amp;F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xSplit="1" ySplit="9" topLeftCell="B10" activePane="bottomRight" state="frozen"/>
      <selection pane="topLeft" activeCell="K6" sqref="K6"/>
      <selection pane="topRight" activeCell="K6" sqref="K6"/>
      <selection pane="bottomLeft" activeCell="K6" sqref="K6"/>
      <selection pane="bottomRight" activeCell="E18" sqref="E18"/>
    </sheetView>
  </sheetViews>
  <sheetFormatPr defaultColWidth="9.140625" defaultRowHeight="12.75"/>
  <cols>
    <col min="1" max="1" width="31.140625" style="168" customWidth="1"/>
    <col min="2" max="2" width="11.140625" style="168" customWidth="1"/>
    <col min="3" max="3" width="8.8515625" style="168" customWidth="1"/>
    <col min="4" max="4" width="12.00390625" style="168" customWidth="1"/>
    <col min="5" max="5" width="12.140625" style="168" customWidth="1"/>
    <col min="6" max="6" width="8.7109375" style="168" customWidth="1"/>
    <col min="7" max="7" width="12.421875" style="168" customWidth="1"/>
    <col min="8" max="8" width="12.140625" style="168" customWidth="1"/>
    <col min="9" max="9" width="9.140625" style="168" customWidth="1"/>
    <col min="10" max="10" width="11.421875" style="168" customWidth="1"/>
    <col min="11" max="16384" width="9.140625" style="43" customWidth="1"/>
  </cols>
  <sheetData>
    <row r="1" spans="1:10" s="146" customFormat="1" ht="15.75">
      <c r="A1" s="144" t="s">
        <v>286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49" customFormat="1" ht="12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s="49" customFormat="1" ht="12">
      <c r="A3" s="148" t="s">
        <v>402</v>
      </c>
      <c r="B3" s="149">
        <v>1</v>
      </c>
      <c r="C3" s="150"/>
      <c r="D3" s="151"/>
      <c r="E3" s="149">
        <v>2</v>
      </c>
      <c r="F3" s="150"/>
      <c r="G3" s="151"/>
      <c r="H3" s="149">
        <v>3</v>
      </c>
      <c r="I3" s="150"/>
      <c r="J3" s="151"/>
    </row>
    <row r="4" spans="1:10" s="49" customFormat="1" ht="12">
      <c r="A4" s="148" t="s">
        <v>207</v>
      </c>
      <c r="E4" s="148"/>
      <c r="F4" s="152"/>
      <c r="G4" s="153"/>
      <c r="H4" s="154"/>
      <c r="I4" s="152"/>
      <c r="J4" s="153"/>
    </row>
    <row r="5" spans="1:10" s="49" customFormat="1" ht="12">
      <c r="A5" s="148" t="s">
        <v>403</v>
      </c>
      <c r="B5" s="908" t="s">
        <v>207</v>
      </c>
      <c r="C5" s="909"/>
      <c r="D5" s="910"/>
      <c r="E5" s="149" t="s">
        <v>75</v>
      </c>
      <c r="F5" s="150"/>
      <c r="G5" s="151"/>
      <c r="H5" s="149" t="s">
        <v>397</v>
      </c>
      <c r="I5" s="150"/>
      <c r="J5" s="151"/>
    </row>
    <row r="6" spans="1:10" s="49" customFormat="1" ht="12.75" customHeight="1">
      <c r="A6" s="148" t="s">
        <v>404</v>
      </c>
      <c r="B6" s="908">
        <v>851275</v>
      </c>
      <c r="C6" s="909"/>
      <c r="D6" s="910"/>
      <c r="E6" s="908">
        <v>853244</v>
      </c>
      <c r="F6" s="909"/>
      <c r="G6" s="910"/>
      <c r="H6" s="908"/>
      <c r="I6" s="909"/>
      <c r="J6" s="910"/>
    </row>
    <row r="7" spans="1:10" s="49" customFormat="1" ht="12">
      <c r="A7" s="155" t="s">
        <v>405</v>
      </c>
      <c r="B7" s="909" t="s">
        <v>92</v>
      </c>
      <c r="C7" s="909"/>
      <c r="D7" s="910"/>
      <c r="E7" s="908" t="s">
        <v>406</v>
      </c>
      <c r="F7" s="909"/>
      <c r="G7" s="910"/>
      <c r="H7" s="156"/>
      <c r="I7" s="156"/>
      <c r="J7" s="157"/>
    </row>
    <row r="8" spans="1:10" s="686" customFormat="1" ht="37.5" customHeight="1">
      <c r="A8" s="711" t="s">
        <v>407</v>
      </c>
      <c r="B8" s="687" t="s">
        <v>636</v>
      </c>
      <c r="C8" s="514" t="s">
        <v>501</v>
      </c>
      <c r="D8" s="687" t="s">
        <v>717</v>
      </c>
      <c r="E8" s="687" t="s">
        <v>636</v>
      </c>
      <c r="F8" s="514" t="s">
        <v>501</v>
      </c>
      <c r="G8" s="687" t="s">
        <v>717</v>
      </c>
      <c r="H8" s="687" t="s">
        <v>636</v>
      </c>
      <c r="I8" s="514" t="s">
        <v>501</v>
      </c>
      <c r="J8" s="687" t="s">
        <v>717</v>
      </c>
    </row>
    <row r="9" spans="1:10" s="685" customFormat="1" ht="9.75" customHeight="1">
      <c r="A9" s="515" t="s">
        <v>208</v>
      </c>
      <c r="B9" s="514" t="s">
        <v>209</v>
      </c>
      <c r="C9" s="515" t="s">
        <v>210</v>
      </c>
      <c r="D9" s="515" t="s">
        <v>182</v>
      </c>
      <c r="E9" s="515" t="s">
        <v>183</v>
      </c>
      <c r="F9" s="515" t="s">
        <v>184</v>
      </c>
      <c r="G9" s="515" t="s">
        <v>185</v>
      </c>
      <c r="H9" s="515" t="s">
        <v>186</v>
      </c>
      <c r="I9" s="515" t="s">
        <v>187</v>
      </c>
      <c r="J9" s="515" t="s">
        <v>188</v>
      </c>
    </row>
    <row r="10" spans="1:10" s="49" customFormat="1" ht="12.75">
      <c r="A10" s="158" t="s">
        <v>408</v>
      </c>
      <c r="B10" s="101">
        <v>273.5</v>
      </c>
      <c r="C10" s="159">
        <v>0</v>
      </c>
      <c r="D10" s="159">
        <f>SUM(B10:C10)</f>
        <v>273.5</v>
      </c>
      <c r="E10" s="159">
        <v>106</v>
      </c>
      <c r="F10" s="159">
        <v>3</v>
      </c>
      <c r="G10" s="159">
        <f>SUM(E10:F10)</f>
        <v>109</v>
      </c>
      <c r="H10" s="159">
        <f>SUM(B10,E10)</f>
        <v>379.5</v>
      </c>
      <c r="I10" s="159">
        <f>SUM(C10,F10)</f>
        <v>3</v>
      </c>
      <c r="J10" s="159">
        <f>SUM(D10,G10)</f>
        <v>382.5</v>
      </c>
    </row>
    <row r="11" spans="1:10" s="161" customFormat="1" ht="12.75">
      <c r="A11" s="160" t="s">
        <v>409</v>
      </c>
      <c r="B11" s="37"/>
      <c r="C11" s="37"/>
      <c r="D11" s="37"/>
      <c r="E11" s="37"/>
      <c r="F11" s="37"/>
      <c r="G11" s="37"/>
      <c r="H11" s="42"/>
      <c r="I11" s="42"/>
      <c r="J11" s="42"/>
    </row>
    <row r="12" spans="1:10" s="49" customFormat="1" ht="12.75">
      <c r="A12" s="158" t="s">
        <v>410</v>
      </c>
      <c r="B12" s="42">
        <v>576070</v>
      </c>
      <c r="C12" s="42">
        <v>15879</v>
      </c>
      <c r="D12" s="42">
        <f>SUM(B12:C12)</f>
        <v>591949</v>
      </c>
      <c r="E12" s="42">
        <v>219297</v>
      </c>
      <c r="F12" s="42">
        <v>7834</v>
      </c>
      <c r="G12" s="42">
        <f>SUM(E12:F12)</f>
        <v>227131</v>
      </c>
      <c r="H12" s="42">
        <f>SUM(B12,E12)</f>
        <v>795367</v>
      </c>
      <c r="I12" s="42">
        <f aca="true" t="shared" si="0" ref="I12:I35">SUM(C12,F12)</f>
        <v>23713</v>
      </c>
      <c r="J12" s="42">
        <f aca="true" t="shared" si="1" ref="J12:J35">SUM(D12,G12)</f>
        <v>819080</v>
      </c>
    </row>
    <row r="13" spans="1:10" s="49" customFormat="1" ht="12.75">
      <c r="A13" s="158" t="s">
        <v>374</v>
      </c>
      <c r="B13" s="42">
        <v>182871</v>
      </c>
      <c r="C13" s="42">
        <v>5083</v>
      </c>
      <c r="D13" s="42">
        <f aca="true" t="shared" si="2" ref="D13:D35">SUM(B13:C13)</f>
        <v>187954</v>
      </c>
      <c r="E13" s="42">
        <v>66716</v>
      </c>
      <c r="F13" s="42">
        <v>2877</v>
      </c>
      <c r="G13" s="42">
        <f aca="true" t="shared" si="3" ref="G13:G35">SUM(E13:F13)</f>
        <v>69593</v>
      </c>
      <c r="H13" s="42">
        <f aca="true" t="shared" si="4" ref="H13:H20">SUM(B13,E13)</f>
        <v>249587</v>
      </c>
      <c r="I13" s="42">
        <f t="shared" si="0"/>
        <v>7960</v>
      </c>
      <c r="J13" s="42">
        <f t="shared" si="1"/>
        <v>257547</v>
      </c>
    </row>
    <row r="14" spans="1:10" s="49" customFormat="1" ht="12.75">
      <c r="A14" s="158" t="s">
        <v>375</v>
      </c>
      <c r="B14" s="42">
        <v>412872</v>
      </c>
      <c r="C14" s="42">
        <v>0</v>
      </c>
      <c r="D14" s="42">
        <f t="shared" si="2"/>
        <v>412872</v>
      </c>
      <c r="E14" s="42">
        <v>172301</v>
      </c>
      <c r="F14" s="42">
        <v>-8195</v>
      </c>
      <c r="G14" s="42">
        <f t="shared" si="3"/>
        <v>164106</v>
      </c>
      <c r="H14" s="42">
        <f t="shared" si="4"/>
        <v>585173</v>
      </c>
      <c r="I14" s="42">
        <f t="shared" si="0"/>
        <v>-8195</v>
      </c>
      <c r="J14" s="42">
        <f t="shared" si="1"/>
        <v>576978</v>
      </c>
    </row>
    <row r="15" spans="1:10" s="49" customFormat="1" ht="25.5" customHeight="1">
      <c r="A15" s="47" t="s">
        <v>281</v>
      </c>
      <c r="B15" s="42">
        <v>47328</v>
      </c>
      <c r="C15" s="42">
        <v>0</v>
      </c>
      <c r="D15" s="42">
        <f t="shared" si="2"/>
        <v>47328</v>
      </c>
      <c r="E15" s="42">
        <v>0</v>
      </c>
      <c r="F15" s="42">
        <v>0</v>
      </c>
      <c r="G15" s="42">
        <f t="shared" si="3"/>
        <v>0</v>
      </c>
      <c r="H15" s="42">
        <f t="shared" si="4"/>
        <v>47328</v>
      </c>
      <c r="I15" s="42">
        <f t="shared" si="0"/>
        <v>0</v>
      </c>
      <c r="J15" s="42">
        <f t="shared" si="1"/>
        <v>47328</v>
      </c>
    </row>
    <row r="16" spans="1:10" s="49" customFormat="1" ht="12.75">
      <c r="A16" s="158" t="s">
        <v>101</v>
      </c>
      <c r="B16" s="42">
        <v>0</v>
      </c>
      <c r="C16" s="42">
        <v>0</v>
      </c>
      <c r="D16" s="42">
        <f t="shared" si="2"/>
        <v>0</v>
      </c>
      <c r="E16" s="42">
        <v>0</v>
      </c>
      <c r="F16" s="42">
        <v>0</v>
      </c>
      <c r="G16" s="42">
        <f t="shared" si="3"/>
        <v>0</v>
      </c>
      <c r="H16" s="42">
        <f t="shared" si="4"/>
        <v>0</v>
      </c>
      <c r="I16" s="42">
        <f t="shared" si="0"/>
        <v>0</v>
      </c>
      <c r="J16" s="42">
        <f t="shared" si="1"/>
        <v>0</v>
      </c>
    </row>
    <row r="17" spans="1:10" s="161" customFormat="1" ht="12.75">
      <c r="A17" s="160" t="s">
        <v>376</v>
      </c>
      <c r="B17" s="37">
        <f>SUM(B12:B16)</f>
        <v>1219141</v>
      </c>
      <c r="C17" s="37">
        <f>SUM(C12:C16)</f>
        <v>20962</v>
      </c>
      <c r="D17" s="50">
        <f t="shared" si="2"/>
        <v>1240103</v>
      </c>
      <c r="E17" s="37">
        <f>SUM(E12:E16)</f>
        <v>458314</v>
      </c>
      <c r="F17" s="37">
        <f>SUM(F12:F16)</f>
        <v>2516</v>
      </c>
      <c r="G17" s="50">
        <f t="shared" si="3"/>
        <v>460830</v>
      </c>
      <c r="H17" s="37">
        <f>SUM(H12:H16)</f>
        <v>1677455</v>
      </c>
      <c r="I17" s="50">
        <f t="shared" si="0"/>
        <v>23478</v>
      </c>
      <c r="J17" s="50">
        <f t="shared" si="1"/>
        <v>1700933</v>
      </c>
    </row>
    <row r="18" spans="1:10" s="49" customFormat="1" ht="12.75">
      <c r="A18" s="158" t="s">
        <v>423</v>
      </c>
      <c r="B18" s="42">
        <v>250196</v>
      </c>
      <c r="C18" s="42">
        <v>10406</v>
      </c>
      <c r="D18" s="42">
        <f t="shared" si="2"/>
        <v>260602</v>
      </c>
      <c r="E18" s="42">
        <v>0</v>
      </c>
      <c r="F18" s="42">
        <v>9070</v>
      </c>
      <c r="G18" s="42">
        <f t="shared" si="3"/>
        <v>9070</v>
      </c>
      <c r="H18" s="42">
        <f t="shared" si="4"/>
        <v>250196</v>
      </c>
      <c r="I18" s="42">
        <f t="shared" si="0"/>
        <v>19476</v>
      </c>
      <c r="J18" s="42">
        <f t="shared" si="1"/>
        <v>269672</v>
      </c>
    </row>
    <row r="19" spans="1:10" s="49" customFormat="1" ht="12.75">
      <c r="A19" s="158" t="s">
        <v>424</v>
      </c>
      <c r="B19" s="42">
        <v>36988</v>
      </c>
      <c r="C19" s="42">
        <v>0</v>
      </c>
      <c r="D19" s="42">
        <f t="shared" si="2"/>
        <v>36988</v>
      </c>
      <c r="E19" s="42">
        <v>9000</v>
      </c>
      <c r="F19" s="42">
        <v>0</v>
      </c>
      <c r="G19" s="42">
        <f t="shared" si="3"/>
        <v>9000</v>
      </c>
      <c r="H19" s="42">
        <f t="shared" si="4"/>
        <v>45988</v>
      </c>
      <c r="I19" s="42">
        <f t="shared" si="0"/>
        <v>0</v>
      </c>
      <c r="J19" s="42">
        <f t="shared" si="1"/>
        <v>45988</v>
      </c>
    </row>
    <row r="20" spans="1:10" s="49" customFormat="1" ht="27" customHeight="1">
      <c r="A20" s="47" t="s">
        <v>422</v>
      </c>
      <c r="B20" s="42">
        <v>27516</v>
      </c>
      <c r="C20" s="42">
        <v>0</v>
      </c>
      <c r="D20" s="42">
        <f t="shared" si="2"/>
        <v>27516</v>
      </c>
      <c r="E20" s="42">
        <v>0</v>
      </c>
      <c r="F20" s="42">
        <v>0</v>
      </c>
      <c r="G20" s="42">
        <f t="shared" si="3"/>
        <v>0</v>
      </c>
      <c r="H20" s="42">
        <f t="shared" si="4"/>
        <v>27516</v>
      </c>
      <c r="I20" s="42">
        <f t="shared" si="0"/>
        <v>0</v>
      </c>
      <c r="J20" s="42">
        <f t="shared" si="1"/>
        <v>27516</v>
      </c>
    </row>
    <row r="21" spans="1:10" s="161" customFormat="1" ht="12.75">
      <c r="A21" s="160" t="s">
        <v>83</v>
      </c>
      <c r="B21" s="37">
        <f>SUM(B18:B20)</f>
        <v>314700</v>
      </c>
      <c r="C21" s="37">
        <f>SUM(C18:C20)</f>
        <v>10406</v>
      </c>
      <c r="D21" s="50">
        <f t="shared" si="2"/>
        <v>325106</v>
      </c>
      <c r="E21" s="37">
        <f>SUM(E18:E20)</f>
        <v>9000</v>
      </c>
      <c r="F21" s="37">
        <f>SUM(F18:F20)</f>
        <v>9070</v>
      </c>
      <c r="G21" s="50">
        <f t="shared" si="3"/>
        <v>18070</v>
      </c>
      <c r="H21" s="37">
        <f>SUM(H18:H20)</f>
        <v>323700</v>
      </c>
      <c r="I21" s="50">
        <f t="shared" si="0"/>
        <v>19476</v>
      </c>
      <c r="J21" s="50">
        <f t="shared" si="1"/>
        <v>343176</v>
      </c>
    </row>
    <row r="22" spans="1:10" s="163" customFormat="1" ht="13.5">
      <c r="A22" s="162" t="s">
        <v>84</v>
      </c>
      <c r="B22" s="8">
        <f>SUM(B21,B17)</f>
        <v>1533841</v>
      </c>
      <c r="C22" s="8">
        <f>SUM(C21,C17)</f>
        <v>31368</v>
      </c>
      <c r="D22" s="74">
        <f t="shared" si="2"/>
        <v>1565209</v>
      </c>
      <c r="E22" s="8">
        <f>SUM(E21,E17)</f>
        <v>467314</v>
      </c>
      <c r="F22" s="8">
        <f>SUM(F21,F17)</f>
        <v>11586</v>
      </c>
      <c r="G22" s="74">
        <f t="shared" si="3"/>
        <v>478900</v>
      </c>
      <c r="H22" s="8">
        <f>SUM(H21,H17)</f>
        <v>2001155</v>
      </c>
      <c r="I22" s="74">
        <f t="shared" si="0"/>
        <v>42954</v>
      </c>
      <c r="J22" s="74">
        <f t="shared" si="1"/>
        <v>2044109</v>
      </c>
    </row>
    <row r="23" spans="1:10" s="161" customFormat="1" ht="12.75">
      <c r="A23" s="160" t="s">
        <v>85</v>
      </c>
      <c r="B23" s="37"/>
      <c r="C23" s="37"/>
      <c r="D23" s="42"/>
      <c r="E23" s="37"/>
      <c r="F23" s="37"/>
      <c r="G23" s="42"/>
      <c r="H23" s="37"/>
      <c r="I23" s="42"/>
      <c r="J23" s="42"/>
    </row>
    <row r="24" spans="1:10" s="49" customFormat="1" ht="24">
      <c r="A24" s="47" t="s">
        <v>282</v>
      </c>
      <c r="B24" s="42">
        <v>0</v>
      </c>
      <c r="C24" s="42">
        <v>0</v>
      </c>
      <c r="D24" s="42">
        <f t="shared" si="2"/>
        <v>0</v>
      </c>
      <c r="E24" s="42">
        <v>0</v>
      </c>
      <c r="F24" s="42">
        <v>0</v>
      </c>
      <c r="G24" s="42">
        <f t="shared" si="3"/>
        <v>0</v>
      </c>
      <c r="H24" s="42">
        <f aca="true" t="shared" si="5" ref="H24:H34">SUM(B24,E24)</f>
        <v>0</v>
      </c>
      <c r="I24" s="42">
        <f t="shared" si="0"/>
        <v>0</v>
      </c>
      <c r="J24" s="42">
        <f t="shared" si="1"/>
        <v>0</v>
      </c>
    </row>
    <row r="25" spans="1:10" s="49" customFormat="1" ht="24">
      <c r="A25" s="47" t="s">
        <v>289</v>
      </c>
      <c r="B25" s="42">
        <v>24058</v>
      </c>
      <c r="C25" s="42">
        <v>0</v>
      </c>
      <c r="D25" s="42">
        <f t="shared" si="2"/>
        <v>24058</v>
      </c>
      <c r="E25" s="42">
        <v>44793</v>
      </c>
      <c r="F25" s="42">
        <v>0</v>
      </c>
      <c r="G25" s="42">
        <f t="shared" si="3"/>
        <v>44793</v>
      </c>
      <c r="H25" s="42">
        <f t="shared" si="5"/>
        <v>68851</v>
      </c>
      <c r="I25" s="42">
        <f t="shared" si="0"/>
        <v>0</v>
      </c>
      <c r="J25" s="42">
        <f t="shared" si="1"/>
        <v>68851</v>
      </c>
    </row>
    <row r="26" spans="1:10" s="49" customFormat="1" ht="12.75">
      <c r="A26" s="158" t="s">
        <v>290</v>
      </c>
      <c r="B26" s="42">
        <v>12808</v>
      </c>
      <c r="C26" s="42">
        <v>0</v>
      </c>
      <c r="D26" s="42">
        <f t="shared" si="2"/>
        <v>12808</v>
      </c>
      <c r="E26" s="42">
        <v>989</v>
      </c>
      <c r="F26" s="42">
        <v>0</v>
      </c>
      <c r="G26" s="42">
        <f t="shared" si="3"/>
        <v>989</v>
      </c>
      <c r="H26" s="42">
        <f t="shared" si="5"/>
        <v>13797</v>
      </c>
      <c r="I26" s="42">
        <f t="shared" si="0"/>
        <v>0</v>
      </c>
      <c r="J26" s="42">
        <f t="shared" si="1"/>
        <v>13797</v>
      </c>
    </row>
    <row r="27" spans="1:10" s="49" customFormat="1" ht="12.75">
      <c r="A27" s="158" t="s">
        <v>283</v>
      </c>
      <c r="B27" s="42">
        <v>350</v>
      </c>
      <c r="C27" s="42">
        <v>0</v>
      </c>
      <c r="D27" s="42">
        <f t="shared" si="2"/>
        <v>350</v>
      </c>
      <c r="E27" s="42">
        <v>0</v>
      </c>
      <c r="F27" s="42">
        <v>0</v>
      </c>
      <c r="G27" s="42">
        <f t="shared" si="3"/>
        <v>0</v>
      </c>
      <c r="H27" s="42">
        <f t="shared" si="5"/>
        <v>350</v>
      </c>
      <c r="I27" s="42">
        <f t="shared" si="0"/>
        <v>0</v>
      </c>
      <c r="J27" s="42">
        <f t="shared" si="1"/>
        <v>350</v>
      </c>
    </row>
    <row r="28" spans="1:10" s="49" customFormat="1" ht="12.75">
      <c r="A28" s="158" t="s">
        <v>284</v>
      </c>
      <c r="B28" s="42">
        <v>10621</v>
      </c>
      <c r="C28" s="42">
        <v>0</v>
      </c>
      <c r="D28" s="42">
        <f t="shared" si="2"/>
        <v>10621</v>
      </c>
      <c r="E28" s="42">
        <v>6711</v>
      </c>
      <c r="F28" s="42">
        <v>0</v>
      </c>
      <c r="G28" s="42">
        <f t="shared" si="3"/>
        <v>6711</v>
      </c>
      <c r="H28" s="42">
        <f t="shared" si="5"/>
        <v>17332</v>
      </c>
      <c r="I28" s="42">
        <f t="shared" si="0"/>
        <v>0</v>
      </c>
      <c r="J28" s="42">
        <f t="shared" si="1"/>
        <v>17332</v>
      </c>
    </row>
    <row r="29" spans="1:10" s="49" customFormat="1" ht="25.5" customHeight="1">
      <c r="A29" s="47" t="s">
        <v>417</v>
      </c>
      <c r="B29" s="42">
        <v>769784</v>
      </c>
      <c r="C29" s="42">
        <v>0</v>
      </c>
      <c r="D29" s="42">
        <f t="shared" si="2"/>
        <v>769784</v>
      </c>
      <c r="E29" s="42">
        <v>0</v>
      </c>
      <c r="F29" s="42">
        <v>0</v>
      </c>
      <c r="G29" s="42">
        <f t="shared" si="3"/>
        <v>0</v>
      </c>
      <c r="H29" s="42">
        <f t="shared" si="5"/>
        <v>769784</v>
      </c>
      <c r="I29" s="42">
        <f t="shared" si="0"/>
        <v>0</v>
      </c>
      <c r="J29" s="42">
        <f t="shared" si="1"/>
        <v>769784</v>
      </c>
    </row>
    <row r="30" spans="1:10" s="49" customFormat="1" ht="25.5" customHeight="1">
      <c r="A30" s="164" t="s">
        <v>418</v>
      </c>
      <c r="B30" s="42">
        <v>0</v>
      </c>
      <c r="C30" s="42">
        <v>0</v>
      </c>
      <c r="D30" s="42">
        <f t="shared" si="2"/>
        <v>0</v>
      </c>
      <c r="E30" s="42">
        <v>0</v>
      </c>
      <c r="F30" s="42">
        <v>0</v>
      </c>
      <c r="G30" s="42">
        <f t="shared" si="3"/>
        <v>0</v>
      </c>
      <c r="H30" s="42">
        <f t="shared" si="5"/>
        <v>0</v>
      </c>
      <c r="I30" s="42">
        <f t="shared" si="0"/>
        <v>0</v>
      </c>
      <c r="J30" s="42">
        <f t="shared" si="1"/>
        <v>0</v>
      </c>
    </row>
    <row r="31" spans="1:10" s="49" customFormat="1" ht="12.75">
      <c r="A31" s="158" t="s">
        <v>419</v>
      </c>
      <c r="B31" s="165">
        <v>0</v>
      </c>
      <c r="C31" s="42">
        <v>0</v>
      </c>
      <c r="D31" s="42">
        <f t="shared" si="2"/>
        <v>0</v>
      </c>
      <c r="E31" s="42">
        <v>0</v>
      </c>
      <c r="F31" s="42">
        <v>0</v>
      </c>
      <c r="G31" s="42">
        <f t="shared" si="3"/>
        <v>0</v>
      </c>
      <c r="H31" s="42">
        <f t="shared" si="5"/>
        <v>0</v>
      </c>
      <c r="I31" s="42">
        <f t="shared" si="0"/>
        <v>0</v>
      </c>
      <c r="J31" s="42">
        <f t="shared" si="1"/>
        <v>0</v>
      </c>
    </row>
    <row r="32" spans="1:10" s="49" customFormat="1" ht="12.75">
      <c r="A32" s="158" t="s">
        <v>420</v>
      </c>
      <c r="B32" s="165">
        <v>131483</v>
      </c>
      <c r="C32" s="42">
        <v>0</v>
      </c>
      <c r="D32" s="42">
        <f t="shared" si="2"/>
        <v>131483</v>
      </c>
      <c r="E32" s="42">
        <v>23047</v>
      </c>
      <c r="F32" s="42">
        <v>0</v>
      </c>
      <c r="G32" s="42">
        <f t="shared" si="3"/>
        <v>23047</v>
      </c>
      <c r="H32" s="42">
        <f t="shared" si="5"/>
        <v>154530</v>
      </c>
      <c r="I32" s="42">
        <f t="shared" si="0"/>
        <v>0</v>
      </c>
      <c r="J32" s="42">
        <f t="shared" si="1"/>
        <v>154530</v>
      </c>
    </row>
    <row r="33" spans="1:10" s="49" customFormat="1" ht="12.75">
      <c r="A33" s="158" t="s">
        <v>421</v>
      </c>
      <c r="B33" s="165">
        <v>584737</v>
      </c>
      <c r="C33" s="42">
        <v>31368</v>
      </c>
      <c r="D33" s="42">
        <f t="shared" si="2"/>
        <v>616105</v>
      </c>
      <c r="E33" s="42">
        <v>391774</v>
      </c>
      <c r="F33" s="42">
        <v>11586</v>
      </c>
      <c r="G33" s="42">
        <f t="shared" si="3"/>
        <v>403360</v>
      </c>
      <c r="H33" s="42">
        <f t="shared" si="5"/>
        <v>976511</v>
      </c>
      <c r="I33" s="42">
        <f t="shared" si="0"/>
        <v>42954</v>
      </c>
      <c r="J33" s="42">
        <f t="shared" si="1"/>
        <v>1019465</v>
      </c>
    </row>
    <row r="34" spans="1:10" s="49" customFormat="1" ht="12.75">
      <c r="A34" s="166" t="s">
        <v>416</v>
      </c>
      <c r="B34" s="165">
        <v>0</v>
      </c>
      <c r="C34" s="42">
        <v>0</v>
      </c>
      <c r="D34" s="42">
        <f t="shared" si="2"/>
        <v>0</v>
      </c>
      <c r="E34" s="42">
        <v>117410</v>
      </c>
      <c r="F34" s="42">
        <v>-10518</v>
      </c>
      <c r="G34" s="42">
        <f t="shared" si="3"/>
        <v>106892</v>
      </c>
      <c r="H34" s="42">
        <f t="shared" si="5"/>
        <v>117410</v>
      </c>
      <c r="I34" s="42">
        <f t="shared" si="0"/>
        <v>-10518</v>
      </c>
      <c r="J34" s="42">
        <f t="shared" si="1"/>
        <v>106892</v>
      </c>
    </row>
    <row r="35" spans="1:10" s="163" customFormat="1" ht="13.5">
      <c r="A35" s="162" t="s">
        <v>396</v>
      </c>
      <c r="B35" s="167">
        <f>SUM(B24:B34)</f>
        <v>1533841</v>
      </c>
      <c r="C35" s="167">
        <f>SUM(C24:C34)</f>
        <v>31368</v>
      </c>
      <c r="D35" s="74">
        <f t="shared" si="2"/>
        <v>1565209</v>
      </c>
      <c r="E35" s="167">
        <f>SUM(E24:E33)</f>
        <v>467314</v>
      </c>
      <c r="F35" s="167">
        <f>SUM(F24:F33)</f>
        <v>11586</v>
      </c>
      <c r="G35" s="74">
        <f t="shared" si="3"/>
        <v>478900</v>
      </c>
      <c r="H35" s="167">
        <f>SUM(H24:H33)</f>
        <v>2001155</v>
      </c>
      <c r="I35" s="74">
        <f t="shared" si="0"/>
        <v>42954</v>
      </c>
      <c r="J35" s="74">
        <f t="shared" si="1"/>
        <v>2044109</v>
      </c>
    </row>
    <row r="36" spans="1:7" ht="12.75">
      <c r="A36" s="120"/>
      <c r="B36" s="120"/>
      <c r="C36" s="120"/>
      <c r="D36" s="120"/>
      <c r="E36" s="120"/>
      <c r="F36" s="120"/>
      <c r="G36" s="120"/>
    </row>
    <row r="37" spans="1:10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12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ht="12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ht="12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ht="12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ht="12.75">
      <c r="A48" s="120"/>
    </row>
    <row r="49" ht="12.75">
      <c r="A49" s="120"/>
    </row>
    <row r="50" ht="12.75">
      <c r="A50" s="120"/>
    </row>
  </sheetData>
  <sheetProtection/>
  <mergeCells count="6">
    <mergeCell ref="H6:J6"/>
    <mergeCell ref="B5:D5"/>
    <mergeCell ref="B7:D7"/>
    <mergeCell ref="E6:G6"/>
    <mergeCell ref="B6:D6"/>
    <mergeCell ref="E7:G7"/>
  </mergeCells>
  <printOptions horizontalCentered="1" verticalCentered="1"/>
  <pageMargins left="0" right="0" top="0.38" bottom="0" header="0.31496062992125984" footer="0"/>
  <pageSetup fitToHeight="1" fitToWidth="1" horizontalDpi="300" verticalDpi="300" orientation="landscape" paperSize="9" r:id="rId1"/>
  <headerFooter alignWithMargins="0">
    <oddHeader>&amp;R&amp;"Times New Roman CE,Normál"6/b.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9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.140625" style="198" customWidth="1"/>
    <col min="2" max="2" width="1.8515625" style="198" customWidth="1"/>
    <col min="3" max="3" width="46.28125" style="189" customWidth="1"/>
    <col min="4" max="4" width="8.7109375" style="198" customWidth="1"/>
    <col min="5" max="5" width="11.28125" style="198" customWidth="1"/>
    <col min="6" max="6" width="11.140625" style="198" customWidth="1"/>
    <col min="7" max="7" width="7.421875" style="198" customWidth="1"/>
    <col min="8" max="8" width="11.28125" style="198" customWidth="1"/>
    <col min="9" max="9" width="9.140625" style="270" customWidth="1"/>
    <col min="10" max="10" width="7.57421875" style="270" customWidth="1"/>
    <col min="11" max="11" width="7.28125" style="270" customWidth="1"/>
    <col min="12" max="12" width="6.8515625" style="270" customWidth="1"/>
    <col min="13" max="13" width="6.00390625" style="270" customWidth="1"/>
    <col min="14" max="14" width="6.8515625" style="270" customWidth="1"/>
    <col min="15" max="15" width="6.28125" style="270" customWidth="1"/>
    <col min="16" max="16" width="7.421875" style="270" customWidth="1"/>
    <col min="17" max="17" width="6.8515625" style="270" customWidth="1"/>
    <col min="18" max="18" width="6.57421875" style="270" customWidth="1"/>
    <col min="19" max="19" width="6.00390625" style="270" customWidth="1"/>
    <col min="20" max="20" width="8.421875" style="270" customWidth="1"/>
    <col min="21" max="21" width="6.140625" style="270" customWidth="1"/>
    <col min="22" max="22" width="9.140625" style="270" customWidth="1"/>
    <col min="23" max="23" width="6.57421875" style="270" customWidth="1"/>
    <col min="24" max="24" width="7.421875" style="270" customWidth="1"/>
    <col min="25" max="27" width="6.57421875" style="270" customWidth="1"/>
    <col min="28" max="16384" width="9.140625" style="198" customWidth="1"/>
  </cols>
  <sheetData>
    <row r="2" spans="1:8" ht="17.25" customHeight="1">
      <c r="A2" s="845" t="s">
        <v>285</v>
      </c>
      <c r="B2" s="845"/>
      <c r="C2" s="845"/>
      <c r="D2" s="845"/>
      <c r="E2" s="845"/>
      <c r="F2" s="845"/>
      <c r="G2" s="845"/>
      <c r="H2" s="845"/>
    </row>
    <row r="3" spans="1:8" ht="18.75" customHeight="1">
      <c r="A3" s="845" t="s">
        <v>320</v>
      </c>
      <c r="B3" s="845"/>
      <c r="C3" s="845"/>
      <c r="D3" s="845"/>
      <c r="E3" s="845"/>
      <c r="F3" s="845"/>
      <c r="G3" s="845"/>
      <c r="H3" s="845"/>
    </row>
    <row r="4" spans="1:8" ht="18.75" customHeight="1">
      <c r="A4" s="661"/>
      <c r="B4" s="661"/>
      <c r="C4" s="661"/>
      <c r="D4" s="661"/>
      <c r="E4" s="661"/>
      <c r="F4" s="661"/>
      <c r="G4" s="661"/>
      <c r="H4" s="661"/>
    </row>
    <row r="5" spans="3:20" s="519" customFormat="1" ht="12">
      <c r="C5" s="660"/>
      <c r="D5" s="706"/>
      <c r="E5" s="706"/>
      <c r="F5" s="706"/>
      <c r="G5" s="707"/>
      <c r="H5" s="708" t="s">
        <v>377</v>
      </c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</row>
    <row r="6" spans="1:8" ht="51" customHeight="1">
      <c r="A6" s="713" t="s">
        <v>215</v>
      </c>
      <c r="B6" s="755" t="s">
        <v>378</v>
      </c>
      <c r="C6" s="756"/>
      <c r="D6" s="713" t="s">
        <v>297</v>
      </c>
      <c r="E6" s="712" t="s">
        <v>570</v>
      </c>
      <c r="F6" s="712" t="s">
        <v>635</v>
      </c>
      <c r="G6" s="520" t="s">
        <v>572</v>
      </c>
      <c r="H6" s="712" t="s">
        <v>716</v>
      </c>
    </row>
    <row r="7" spans="1:20" s="519" customFormat="1" ht="9.75" customHeight="1">
      <c r="A7" s="521" t="s">
        <v>208</v>
      </c>
      <c r="B7" s="522" t="s">
        <v>209</v>
      </c>
      <c r="C7" s="518"/>
      <c r="D7" s="557" t="s">
        <v>210</v>
      </c>
      <c r="E7" s="557" t="s">
        <v>182</v>
      </c>
      <c r="F7" s="557" t="s">
        <v>183</v>
      </c>
      <c r="G7" s="557" t="s">
        <v>184</v>
      </c>
      <c r="H7" s="557" t="s">
        <v>185</v>
      </c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</row>
    <row r="8" spans="1:20" s="525" customFormat="1" ht="12.75" customHeight="1">
      <c r="A8" s="523" t="s">
        <v>480</v>
      </c>
      <c r="B8" s="846" t="s">
        <v>262</v>
      </c>
      <c r="C8" s="847"/>
      <c r="D8" s="523"/>
      <c r="E8" s="523"/>
      <c r="F8" s="523"/>
      <c r="G8" s="524"/>
      <c r="H8" s="524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</row>
    <row r="9" spans="1:20" s="519" customFormat="1" ht="12.75" customHeight="1">
      <c r="A9" s="526" t="s">
        <v>208</v>
      </c>
      <c r="B9" s="866" t="s">
        <v>254</v>
      </c>
      <c r="C9" s="867"/>
      <c r="D9" s="526">
        <v>50000</v>
      </c>
      <c r="E9" s="526">
        <v>47590</v>
      </c>
      <c r="F9" s="526">
        <v>44565</v>
      </c>
      <c r="G9" s="527">
        <v>0</v>
      </c>
      <c r="H9" s="527">
        <f>SUM(F9:G9)</f>
        <v>44565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</row>
    <row r="10" spans="1:20" s="519" customFormat="1" ht="12">
      <c r="A10" s="526" t="s">
        <v>209</v>
      </c>
      <c r="B10" s="528" t="s">
        <v>32</v>
      </c>
      <c r="C10" s="529"/>
      <c r="D10" s="526">
        <v>10000</v>
      </c>
      <c r="E10" s="526">
        <v>420</v>
      </c>
      <c r="F10" s="526">
        <v>420</v>
      </c>
      <c r="G10" s="527">
        <v>-215</v>
      </c>
      <c r="H10" s="527">
        <f aca="true" t="shared" si="0" ref="H10:H73">SUM(F10:G10)</f>
        <v>205</v>
      </c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</row>
    <row r="11" spans="1:20" s="519" customFormat="1" ht="12">
      <c r="A11" s="526" t="s">
        <v>210</v>
      </c>
      <c r="B11" s="528" t="s">
        <v>478</v>
      </c>
      <c r="C11" s="529"/>
      <c r="D11" s="526">
        <v>3500</v>
      </c>
      <c r="E11" s="526">
        <v>5834</v>
      </c>
      <c r="F11" s="526">
        <v>5198</v>
      </c>
      <c r="G11" s="527">
        <v>-1690</v>
      </c>
      <c r="H11" s="527">
        <f t="shared" si="0"/>
        <v>3508</v>
      </c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</row>
    <row r="12" spans="1:20" s="519" customFormat="1" ht="12">
      <c r="A12" s="526" t="s">
        <v>182</v>
      </c>
      <c r="B12" s="530" t="s">
        <v>359</v>
      </c>
      <c r="C12" s="529"/>
      <c r="D12" s="527">
        <f>SUM(D13:D15)</f>
        <v>30000</v>
      </c>
      <c r="E12" s="527">
        <f>SUM(E13:E15)</f>
        <v>30000</v>
      </c>
      <c r="F12" s="527">
        <f>SUM(F13:F15)</f>
        <v>17800</v>
      </c>
      <c r="G12" s="527">
        <f>SUM(G13:G15)</f>
        <v>0</v>
      </c>
      <c r="H12" s="527">
        <f t="shared" si="0"/>
        <v>17800</v>
      </c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</row>
    <row r="13" spans="1:20" s="519" customFormat="1" ht="12">
      <c r="A13" s="526"/>
      <c r="B13" s="530"/>
      <c r="C13" s="529" t="s">
        <v>380</v>
      </c>
      <c r="D13" s="526">
        <v>20000</v>
      </c>
      <c r="E13" s="526">
        <v>20000</v>
      </c>
      <c r="F13" s="526">
        <v>11220</v>
      </c>
      <c r="G13" s="527">
        <v>0</v>
      </c>
      <c r="H13" s="527">
        <f t="shared" si="0"/>
        <v>11220</v>
      </c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</row>
    <row r="14" spans="1:20" s="519" customFormat="1" ht="12">
      <c r="A14" s="526"/>
      <c r="B14" s="530"/>
      <c r="C14" s="529" t="s">
        <v>441</v>
      </c>
      <c r="D14" s="526">
        <v>6400</v>
      </c>
      <c r="E14" s="526">
        <v>6400</v>
      </c>
      <c r="F14" s="526">
        <v>3688</v>
      </c>
      <c r="G14" s="527">
        <v>0</v>
      </c>
      <c r="H14" s="527">
        <f t="shared" si="0"/>
        <v>3688</v>
      </c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</row>
    <row r="15" spans="1:20" s="519" customFormat="1" ht="12">
      <c r="A15" s="526"/>
      <c r="B15" s="530"/>
      <c r="C15" s="529" t="s">
        <v>451</v>
      </c>
      <c r="D15" s="526">
        <v>3600</v>
      </c>
      <c r="E15" s="526">
        <v>3600</v>
      </c>
      <c r="F15" s="526">
        <v>2892</v>
      </c>
      <c r="G15" s="527">
        <v>0</v>
      </c>
      <c r="H15" s="527">
        <f t="shared" si="0"/>
        <v>2892</v>
      </c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</row>
    <row r="16" spans="1:20" s="519" customFormat="1" ht="12">
      <c r="A16" s="526" t="s">
        <v>183</v>
      </c>
      <c r="B16" s="528" t="s">
        <v>33</v>
      </c>
      <c r="C16" s="531"/>
      <c r="D16" s="526">
        <v>12131</v>
      </c>
      <c r="E16" s="526">
        <v>263781</v>
      </c>
      <c r="F16" s="526">
        <v>263781</v>
      </c>
      <c r="G16" s="527">
        <v>-81549</v>
      </c>
      <c r="H16" s="527">
        <f t="shared" si="0"/>
        <v>182232</v>
      </c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</row>
    <row r="17" spans="1:20" s="519" customFormat="1" ht="12">
      <c r="A17" s="526" t="s">
        <v>184</v>
      </c>
      <c r="B17" s="528" t="s">
        <v>48</v>
      </c>
      <c r="C17" s="531"/>
      <c r="D17" s="526">
        <v>36969</v>
      </c>
      <c r="E17" s="526">
        <v>223277</v>
      </c>
      <c r="F17" s="526">
        <v>223277</v>
      </c>
      <c r="G17" s="527">
        <v>0</v>
      </c>
      <c r="H17" s="527">
        <f t="shared" si="0"/>
        <v>223277</v>
      </c>
      <c r="I17" s="270"/>
      <c r="J17" s="780"/>
      <c r="K17" s="270"/>
      <c r="L17" s="270"/>
      <c r="M17" s="270"/>
      <c r="N17" s="270"/>
      <c r="O17" s="270"/>
      <c r="P17" s="270"/>
      <c r="Q17" s="270"/>
      <c r="R17" s="270"/>
      <c r="S17" s="270"/>
      <c r="T17" s="270"/>
    </row>
    <row r="18" spans="1:20" s="519" customFormat="1" ht="12">
      <c r="A18" s="526" t="s">
        <v>185</v>
      </c>
      <c r="B18" s="866" t="s">
        <v>95</v>
      </c>
      <c r="C18" s="867"/>
      <c r="D18" s="526">
        <v>20000</v>
      </c>
      <c r="E18" s="526">
        <v>20000</v>
      </c>
      <c r="F18" s="526">
        <v>20000</v>
      </c>
      <c r="G18" s="527">
        <v>0</v>
      </c>
      <c r="H18" s="527">
        <f t="shared" si="0"/>
        <v>20000</v>
      </c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</row>
    <row r="19" spans="1:20" s="519" customFormat="1" ht="12">
      <c r="A19" s="526" t="s">
        <v>186</v>
      </c>
      <c r="B19" s="866" t="s">
        <v>96</v>
      </c>
      <c r="C19" s="867"/>
      <c r="D19" s="526">
        <v>16000</v>
      </c>
      <c r="E19" s="526">
        <v>0</v>
      </c>
      <c r="F19" s="526">
        <v>0</v>
      </c>
      <c r="G19" s="527">
        <v>0</v>
      </c>
      <c r="H19" s="527">
        <f t="shared" si="0"/>
        <v>0</v>
      </c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</row>
    <row r="20" spans="1:20" s="519" customFormat="1" ht="12">
      <c r="A20" s="526" t="s">
        <v>187</v>
      </c>
      <c r="B20" s="865" t="s">
        <v>296</v>
      </c>
      <c r="C20" s="865"/>
      <c r="D20" s="526">
        <v>10000</v>
      </c>
      <c r="E20" s="526">
        <v>10000</v>
      </c>
      <c r="F20" s="526">
        <v>10000</v>
      </c>
      <c r="G20" s="527">
        <v>-10000</v>
      </c>
      <c r="H20" s="527">
        <f t="shared" si="0"/>
        <v>0</v>
      </c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</row>
    <row r="21" spans="1:20" s="660" customFormat="1" ht="12">
      <c r="A21" s="672" t="s">
        <v>188</v>
      </c>
      <c r="B21" s="866" t="s">
        <v>109</v>
      </c>
      <c r="C21" s="867"/>
      <c r="D21" s="673">
        <f>SUM(D22:D24)</f>
        <v>12244</v>
      </c>
      <c r="E21" s="673">
        <f>SUM(E22:E24)</f>
        <v>12244</v>
      </c>
      <c r="F21" s="673">
        <f>SUM(F22:F24)</f>
        <v>667</v>
      </c>
      <c r="G21" s="673">
        <f>SUM(G22:G24)</f>
        <v>0</v>
      </c>
      <c r="H21" s="527">
        <f t="shared" si="0"/>
        <v>667</v>
      </c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</row>
    <row r="22" spans="1:20" s="519" customFormat="1" ht="12">
      <c r="A22" s="526"/>
      <c r="B22" s="530" t="s">
        <v>270</v>
      </c>
      <c r="C22" s="531" t="s">
        <v>35</v>
      </c>
      <c r="D22" s="526">
        <v>10928</v>
      </c>
      <c r="E22" s="526">
        <v>10928</v>
      </c>
      <c r="F22" s="526">
        <v>0</v>
      </c>
      <c r="G22" s="527">
        <v>0</v>
      </c>
      <c r="H22" s="527">
        <f t="shared" si="0"/>
        <v>0</v>
      </c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</row>
    <row r="23" spans="1:20" s="519" customFormat="1" ht="12">
      <c r="A23" s="526"/>
      <c r="B23" s="532"/>
      <c r="C23" s="531" t="s">
        <v>40</v>
      </c>
      <c r="D23" s="526">
        <v>649</v>
      </c>
      <c r="E23" s="526">
        <v>649</v>
      </c>
      <c r="F23" s="526">
        <v>0</v>
      </c>
      <c r="G23" s="527">
        <v>0</v>
      </c>
      <c r="H23" s="527">
        <f t="shared" si="0"/>
        <v>0</v>
      </c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</row>
    <row r="24" spans="1:20" s="519" customFormat="1" ht="12">
      <c r="A24" s="526"/>
      <c r="B24" s="530" t="s">
        <v>271</v>
      </c>
      <c r="C24" s="531" t="s">
        <v>193</v>
      </c>
      <c r="D24" s="526">
        <v>667</v>
      </c>
      <c r="E24" s="526">
        <v>667</v>
      </c>
      <c r="F24" s="526">
        <v>667</v>
      </c>
      <c r="G24" s="527">
        <v>0</v>
      </c>
      <c r="H24" s="527">
        <f t="shared" si="0"/>
        <v>667</v>
      </c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</row>
    <row r="25" spans="1:20" s="519" customFormat="1" ht="12">
      <c r="A25" s="526" t="s">
        <v>189</v>
      </c>
      <c r="B25" s="530" t="s">
        <v>34</v>
      </c>
      <c r="C25" s="531"/>
      <c r="D25" s="526">
        <v>2693</v>
      </c>
      <c r="E25" s="526">
        <v>0</v>
      </c>
      <c r="F25" s="526">
        <v>0</v>
      </c>
      <c r="G25" s="527">
        <v>0</v>
      </c>
      <c r="H25" s="527">
        <f t="shared" si="0"/>
        <v>0</v>
      </c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</row>
    <row r="26" spans="1:20" s="519" customFormat="1" ht="12">
      <c r="A26" s="526" t="s">
        <v>190</v>
      </c>
      <c r="B26" s="530" t="s">
        <v>36</v>
      </c>
      <c r="C26" s="531"/>
      <c r="D26" s="526">
        <v>21800</v>
      </c>
      <c r="E26" s="526">
        <v>21800</v>
      </c>
      <c r="F26" s="526">
        <v>21800</v>
      </c>
      <c r="G26" s="527">
        <v>-21800</v>
      </c>
      <c r="H26" s="527">
        <f t="shared" si="0"/>
        <v>0</v>
      </c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</row>
    <row r="27" spans="1:20" s="519" customFormat="1" ht="12">
      <c r="A27" s="526" t="s">
        <v>191</v>
      </c>
      <c r="B27" s="530" t="s">
        <v>360</v>
      </c>
      <c r="C27" s="531"/>
      <c r="D27" s="526">
        <v>6133</v>
      </c>
      <c r="E27" s="526">
        <v>6133</v>
      </c>
      <c r="F27" s="526">
        <v>6133</v>
      </c>
      <c r="G27" s="527">
        <v>-6133</v>
      </c>
      <c r="H27" s="527">
        <f t="shared" si="0"/>
        <v>0</v>
      </c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 s="519" customFormat="1" ht="12">
      <c r="A28" s="526" t="s">
        <v>324</v>
      </c>
      <c r="B28" s="530" t="s">
        <v>313</v>
      </c>
      <c r="C28" s="531"/>
      <c r="D28" s="526">
        <v>6000</v>
      </c>
      <c r="E28" s="526">
        <v>6000</v>
      </c>
      <c r="F28" s="526">
        <v>6000</v>
      </c>
      <c r="G28" s="527">
        <v>-6000</v>
      </c>
      <c r="H28" s="527">
        <f t="shared" si="0"/>
        <v>0</v>
      </c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</row>
    <row r="29" spans="1:20" s="519" customFormat="1" ht="12">
      <c r="A29" s="526" t="s">
        <v>325</v>
      </c>
      <c r="B29" s="530" t="s">
        <v>312</v>
      </c>
      <c r="C29" s="533"/>
      <c r="D29" s="527">
        <f>SUM(D30:D31)</f>
        <v>16080</v>
      </c>
      <c r="E29" s="527">
        <f>SUM(E30:E31)</f>
        <v>15288</v>
      </c>
      <c r="F29" s="527">
        <f>SUM(F30:F31)</f>
        <v>15288</v>
      </c>
      <c r="G29" s="527">
        <f>SUM(G30:G31)</f>
        <v>-15288</v>
      </c>
      <c r="H29" s="527">
        <f t="shared" si="0"/>
        <v>0</v>
      </c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</row>
    <row r="30" spans="1:20" s="519" customFormat="1" ht="12">
      <c r="A30" s="526"/>
      <c r="B30" s="530"/>
      <c r="C30" s="531" t="s">
        <v>380</v>
      </c>
      <c r="D30" s="526">
        <v>12182</v>
      </c>
      <c r="E30" s="526">
        <v>11582</v>
      </c>
      <c r="F30" s="526">
        <v>11582</v>
      </c>
      <c r="G30" s="527">
        <v>-11582</v>
      </c>
      <c r="H30" s="527">
        <f t="shared" si="0"/>
        <v>0</v>
      </c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</row>
    <row r="31" spans="1:20" s="519" customFormat="1" ht="12">
      <c r="A31" s="526"/>
      <c r="B31" s="530"/>
      <c r="C31" s="529" t="s">
        <v>441</v>
      </c>
      <c r="D31" s="526">
        <v>3898</v>
      </c>
      <c r="E31" s="526">
        <v>3706</v>
      </c>
      <c r="F31" s="526">
        <v>3706</v>
      </c>
      <c r="G31" s="527">
        <v>-3706</v>
      </c>
      <c r="H31" s="527">
        <f t="shared" si="0"/>
        <v>0</v>
      </c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</row>
    <row r="32" spans="1:20" s="519" customFormat="1" ht="12">
      <c r="A32" s="526" t="s">
        <v>327</v>
      </c>
      <c r="B32" s="530" t="s">
        <v>54</v>
      </c>
      <c r="C32" s="533"/>
      <c r="D32" s="526">
        <v>8000</v>
      </c>
      <c r="E32" s="526">
        <v>0</v>
      </c>
      <c r="F32" s="526">
        <v>0</v>
      </c>
      <c r="G32" s="527">
        <v>0</v>
      </c>
      <c r="H32" s="527">
        <f t="shared" si="0"/>
        <v>0</v>
      </c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</row>
    <row r="33" spans="1:20" s="519" customFormat="1" ht="25.5" customHeight="1">
      <c r="A33" s="526" t="s">
        <v>331</v>
      </c>
      <c r="B33" s="866" t="s">
        <v>486</v>
      </c>
      <c r="C33" s="867"/>
      <c r="D33" s="534">
        <f>SUM(D34:D35)</f>
        <v>11250</v>
      </c>
      <c r="E33" s="534">
        <f>SUM(E34:E35)</f>
        <v>0</v>
      </c>
      <c r="F33" s="534">
        <f>SUM(F34:F35)</f>
        <v>0</v>
      </c>
      <c r="G33" s="534">
        <f>SUM(G34:G35)</f>
        <v>0</v>
      </c>
      <c r="H33" s="527">
        <f t="shared" si="0"/>
        <v>0</v>
      </c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</row>
    <row r="34" spans="1:20" s="519" customFormat="1" ht="12">
      <c r="A34" s="526"/>
      <c r="B34" s="530"/>
      <c r="C34" s="531" t="s">
        <v>380</v>
      </c>
      <c r="D34" s="526">
        <v>8523</v>
      </c>
      <c r="E34" s="526">
        <v>0</v>
      </c>
      <c r="F34" s="526">
        <v>0</v>
      </c>
      <c r="G34" s="527">
        <v>0</v>
      </c>
      <c r="H34" s="527">
        <f t="shared" si="0"/>
        <v>0</v>
      </c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</row>
    <row r="35" spans="1:20" s="519" customFormat="1" ht="12">
      <c r="A35" s="526"/>
      <c r="B35" s="530"/>
      <c r="C35" s="529" t="s">
        <v>441</v>
      </c>
      <c r="D35" s="526">
        <v>2727</v>
      </c>
      <c r="E35" s="526">
        <v>0</v>
      </c>
      <c r="F35" s="526">
        <v>0</v>
      </c>
      <c r="G35" s="527">
        <v>0</v>
      </c>
      <c r="H35" s="527">
        <f t="shared" si="0"/>
        <v>0</v>
      </c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</row>
    <row r="36" spans="1:20" s="519" customFormat="1" ht="12">
      <c r="A36" s="526" t="s">
        <v>333</v>
      </c>
      <c r="B36" s="530" t="s">
        <v>61</v>
      </c>
      <c r="C36" s="529"/>
      <c r="D36" s="526">
        <v>10000</v>
      </c>
      <c r="E36" s="526">
        <v>10000</v>
      </c>
      <c r="F36" s="526">
        <v>10000</v>
      </c>
      <c r="G36" s="527">
        <v>-10000</v>
      </c>
      <c r="H36" s="527">
        <f t="shared" si="0"/>
        <v>0</v>
      </c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</row>
    <row r="37" spans="1:20" s="519" customFormat="1" ht="12">
      <c r="A37" s="526" t="s">
        <v>334</v>
      </c>
      <c r="B37" s="530" t="s">
        <v>37</v>
      </c>
      <c r="C37" s="529"/>
      <c r="D37" s="526">
        <f>SUM(D38:D39)</f>
        <v>6600</v>
      </c>
      <c r="E37" s="526">
        <f>SUM(E38:E39)</f>
        <v>0</v>
      </c>
      <c r="F37" s="526">
        <f>SUM(F38:F39)</f>
        <v>0</v>
      </c>
      <c r="G37" s="526">
        <f>SUM(G38:G39)</f>
        <v>0</v>
      </c>
      <c r="H37" s="527">
        <f t="shared" si="0"/>
        <v>0</v>
      </c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</row>
    <row r="38" spans="1:20" s="519" customFormat="1" ht="12">
      <c r="A38" s="526"/>
      <c r="B38" s="530"/>
      <c r="C38" s="531" t="s">
        <v>380</v>
      </c>
      <c r="D38" s="526">
        <v>5000</v>
      </c>
      <c r="E38" s="526">
        <v>0</v>
      </c>
      <c r="F38" s="526">
        <v>0</v>
      </c>
      <c r="G38" s="527">
        <v>0</v>
      </c>
      <c r="H38" s="527">
        <f t="shared" si="0"/>
        <v>0</v>
      </c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</row>
    <row r="39" spans="1:20" s="519" customFormat="1" ht="12">
      <c r="A39" s="526"/>
      <c r="B39" s="530"/>
      <c r="C39" s="529" t="s">
        <v>441</v>
      </c>
      <c r="D39" s="526">
        <v>1600</v>
      </c>
      <c r="E39" s="526">
        <v>0</v>
      </c>
      <c r="F39" s="526">
        <v>0</v>
      </c>
      <c r="G39" s="527">
        <v>0</v>
      </c>
      <c r="H39" s="527">
        <f t="shared" si="0"/>
        <v>0</v>
      </c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</row>
    <row r="40" spans="1:20" s="519" customFormat="1" ht="12">
      <c r="A40" s="526" t="s">
        <v>336</v>
      </c>
      <c r="B40" s="530" t="s">
        <v>139</v>
      </c>
      <c r="C40" s="529"/>
      <c r="D40" s="526">
        <f>SUM(D41:D42)</f>
        <v>1584</v>
      </c>
      <c r="E40" s="526">
        <f>SUM(E41:E42)</f>
        <v>1584</v>
      </c>
      <c r="F40" s="526">
        <f>SUM(F41:F42)</f>
        <v>1584</v>
      </c>
      <c r="G40" s="526">
        <f>SUM(G41:G42)</f>
        <v>0</v>
      </c>
      <c r="H40" s="527">
        <f t="shared" si="0"/>
        <v>1584</v>
      </c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</row>
    <row r="41" spans="1:20" s="519" customFormat="1" ht="12">
      <c r="A41" s="526"/>
      <c r="B41" s="530"/>
      <c r="C41" s="531" t="s">
        <v>380</v>
      </c>
      <c r="D41" s="526">
        <v>1200</v>
      </c>
      <c r="E41" s="526">
        <v>1200</v>
      </c>
      <c r="F41" s="526">
        <v>1200</v>
      </c>
      <c r="G41" s="527">
        <v>0</v>
      </c>
      <c r="H41" s="527">
        <f t="shared" si="0"/>
        <v>1200</v>
      </c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</row>
    <row r="42" spans="1:20" s="519" customFormat="1" ht="12">
      <c r="A42" s="526"/>
      <c r="B42" s="530"/>
      <c r="C42" s="529" t="s">
        <v>441</v>
      </c>
      <c r="D42" s="526">
        <v>384</v>
      </c>
      <c r="E42" s="526">
        <v>384</v>
      </c>
      <c r="F42" s="526">
        <v>384</v>
      </c>
      <c r="G42" s="527">
        <v>0</v>
      </c>
      <c r="H42" s="527">
        <f t="shared" si="0"/>
        <v>384</v>
      </c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</row>
    <row r="43" spans="1:20" s="519" customFormat="1" ht="12">
      <c r="A43" s="526" t="s">
        <v>337</v>
      </c>
      <c r="B43" s="535" t="s">
        <v>18</v>
      </c>
      <c r="C43" s="529"/>
      <c r="D43" s="526">
        <f>SUM(D44:D45)</f>
        <v>1320</v>
      </c>
      <c r="E43" s="526">
        <f>SUM(E44:E45)</f>
        <v>1320</v>
      </c>
      <c r="F43" s="526">
        <f>SUM(F44:F45)</f>
        <v>1320</v>
      </c>
      <c r="G43" s="526">
        <f>SUM(G44:G45)</f>
        <v>0</v>
      </c>
      <c r="H43" s="527">
        <f t="shared" si="0"/>
        <v>1320</v>
      </c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</row>
    <row r="44" spans="1:20" s="519" customFormat="1" ht="12">
      <c r="A44" s="526"/>
      <c r="B44" s="530"/>
      <c r="C44" s="531" t="s">
        <v>380</v>
      </c>
      <c r="D44" s="526">
        <v>1000</v>
      </c>
      <c r="E44" s="526">
        <v>1000</v>
      </c>
      <c r="F44" s="526">
        <v>1000</v>
      </c>
      <c r="G44" s="527">
        <v>0</v>
      </c>
      <c r="H44" s="527">
        <f t="shared" si="0"/>
        <v>1000</v>
      </c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</row>
    <row r="45" spans="1:20" s="519" customFormat="1" ht="12">
      <c r="A45" s="526"/>
      <c r="B45" s="530"/>
      <c r="C45" s="529" t="s">
        <v>441</v>
      </c>
      <c r="D45" s="526">
        <v>320</v>
      </c>
      <c r="E45" s="526">
        <v>320</v>
      </c>
      <c r="F45" s="526">
        <v>320</v>
      </c>
      <c r="G45" s="527">
        <v>0</v>
      </c>
      <c r="H45" s="527">
        <f t="shared" si="0"/>
        <v>320</v>
      </c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</row>
    <row r="46" spans="1:20" s="519" customFormat="1" ht="12">
      <c r="A46" s="526" t="s">
        <v>338</v>
      </c>
      <c r="B46" s="536" t="s">
        <v>140</v>
      </c>
      <c r="C46" s="537"/>
      <c r="D46" s="534">
        <f>SUM(D47:D48)</f>
        <v>4000</v>
      </c>
      <c r="E46" s="534">
        <f>SUM(E47:E48)</f>
        <v>4000</v>
      </c>
      <c r="F46" s="534">
        <f>SUM(F47:F48)</f>
        <v>1941</v>
      </c>
      <c r="G46" s="534">
        <f>SUM(G47:G48)</f>
        <v>-1928</v>
      </c>
      <c r="H46" s="527">
        <f t="shared" si="0"/>
        <v>13</v>
      </c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</row>
    <row r="47" spans="1:20" s="519" customFormat="1" ht="12">
      <c r="A47" s="526"/>
      <c r="B47" s="530"/>
      <c r="C47" s="531" t="s">
        <v>380</v>
      </c>
      <c r="D47" s="526">
        <v>3030</v>
      </c>
      <c r="E47" s="526">
        <v>3030</v>
      </c>
      <c r="F47" s="526">
        <v>1470</v>
      </c>
      <c r="G47" s="527">
        <v>-1460</v>
      </c>
      <c r="H47" s="527">
        <f t="shared" si="0"/>
        <v>10</v>
      </c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</row>
    <row r="48" spans="1:20" s="519" customFormat="1" ht="12">
      <c r="A48" s="526"/>
      <c r="B48" s="530"/>
      <c r="C48" s="529" t="s">
        <v>441</v>
      </c>
      <c r="D48" s="526">
        <v>970</v>
      </c>
      <c r="E48" s="526">
        <v>970</v>
      </c>
      <c r="F48" s="526">
        <v>471</v>
      </c>
      <c r="G48" s="527">
        <v>-468</v>
      </c>
      <c r="H48" s="527">
        <f t="shared" si="0"/>
        <v>3</v>
      </c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</row>
    <row r="49" spans="1:20" s="519" customFormat="1" ht="24.75" customHeight="1">
      <c r="A49" s="526" t="s">
        <v>341</v>
      </c>
      <c r="B49" s="868" t="s">
        <v>19</v>
      </c>
      <c r="C49" s="844"/>
      <c r="D49" s="526">
        <v>4000</v>
      </c>
      <c r="E49" s="526">
        <v>4000</v>
      </c>
      <c r="F49" s="526">
        <v>0</v>
      </c>
      <c r="G49" s="527">
        <v>0</v>
      </c>
      <c r="H49" s="527">
        <f t="shared" si="0"/>
        <v>0</v>
      </c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</row>
    <row r="50" spans="1:20" s="519" customFormat="1" ht="12">
      <c r="A50" s="526" t="s">
        <v>103</v>
      </c>
      <c r="B50" s="538" t="s">
        <v>450</v>
      </c>
      <c r="C50" s="529"/>
      <c r="D50" s="526">
        <v>1000</v>
      </c>
      <c r="E50" s="526">
        <v>1000</v>
      </c>
      <c r="F50" s="526">
        <v>1000</v>
      </c>
      <c r="G50" s="527">
        <v>0</v>
      </c>
      <c r="H50" s="527">
        <f t="shared" si="0"/>
        <v>1000</v>
      </c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</row>
    <row r="51" spans="1:20" s="519" customFormat="1" ht="24.75" customHeight="1">
      <c r="A51" s="526" t="s">
        <v>104</v>
      </c>
      <c r="B51" s="866" t="s">
        <v>349</v>
      </c>
      <c r="C51" s="867"/>
      <c r="D51" s="527">
        <v>95966</v>
      </c>
      <c r="E51" s="527">
        <v>95966</v>
      </c>
      <c r="F51" s="527">
        <v>95966</v>
      </c>
      <c r="G51" s="527">
        <v>0</v>
      </c>
      <c r="H51" s="527">
        <f t="shared" si="0"/>
        <v>95966</v>
      </c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</row>
    <row r="52" spans="1:20" s="519" customFormat="1" ht="12.75" customHeight="1">
      <c r="A52" s="526" t="s">
        <v>106</v>
      </c>
      <c r="B52" s="865" t="s">
        <v>97</v>
      </c>
      <c r="C52" s="865"/>
      <c r="D52" s="527">
        <f>SUM(D53,D60,D67,D74)</f>
        <v>544414</v>
      </c>
      <c r="E52" s="527">
        <f>SUM(E53,E60,E67,E74)</f>
        <v>544414</v>
      </c>
      <c r="F52" s="527">
        <f>SUM(F53,F60,F67,F74)</f>
        <v>544414</v>
      </c>
      <c r="G52" s="527">
        <f>SUM(G53,G60,G67,G74)</f>
        <v>-200966</v>
      </c>
      <c r="H52" s="527">
        <f t="shared" si="0"/>
        <v>343448</v>
      </c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</row>
    <row r="53" spans="1:20" s="519" customFormat="1" ht="12.75" customHeight="1">
      <c r="A53" s="526"/>
      <c r="B53" s="536" t="s">
        <v>270</v>
      </c>
      <c r="C53" s="537" t="s">
        <v>170</v>
      </c>
      <c r="D53" s="527">
        <f>SUM(D57,D54)</f>
        <v>339089</v>
      </c>
      <c r="E53" s="527">
        <f>SUM(E57,E54)</f>
        <v>339089</v>
      </c>
      <c r="F53" s="527">
        <f>SUM(F57,F54)</f>
        <v>339089</v>
      </c>
      <c r="G53" s="527">
        <f>SUM(G57,G54)</f>
        <v>-139100</v>
      </c>
      <c r="H53" s="527">
        <f t="shared" si="0"/>
        <v>199989</v>
      </c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</row>
    <row r="54" spans="1:20" s="519" customFormat="1" ht="12.75" customHeight="1">
      <c r="A54" s="526"/>
      <c r="B54" s="536"/>
      <c r="C54" s="539" t="s">
        <v>38</v>
      </c>
      <c r="D54" s="527">
        <f>SUM(D55:D56)</f>
        <v>62538</v>
      </c>
      <c r="E54" s="527">
        <f>SUM(E55:E56)</f>
        <v>62538</v>
      </c>
      <c r="F54" s="527">
        <f>SUM(F55:F56)</f>
        <v>62538</v>
      </c>
      <c r="G54" s="527">
        <f>SUM(G55:G56)</f>
        <v>0</v>
      </c>
      <c r="H54" s="527">
        <f t="shared" si="0"/>
        <v>62538</v>
      </c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</row>
    <row r="55" spans="1:20" s="519" customFormat="1" ht="12.75" customHeight="1">
      <c r="A55" s="526"/>
      <c r="B55" s="536"/>
      <c r="C55" s="540" t="s">
        <v>380</v>
      </c>
      <c r="D55" s="526">
        <v>47377</v>
      </c>
      <c r="E55" s="526">
        <v>47377</v>
      </c>
      <c r="F55" s="526">
        <v>47377</v>
      </c>
      <c r="G55" s="527">
        <v>0</v>
      </c>
      <c r="H55" s="527">
        <f t="shared" si="0"/>
        <v>47377</v>
      </c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</row>
    <row r="56" spans="1:20" s="519" customFormat="1" ht="12.75" customHeight="1">
      <c r="A56" s="526"/>
      <c r="B56" s="536"/>
      <c r="C56" s="541" t="s">
        <v>441</v>
      </c>
      <c r="D56" s="526">
        <v>15161</v>
      </c>
      <c r="E56" s="526">
        <v>15161</v>
      </c>
      <c r="F56" s="526">
        <v>15161</v>
      </c>
      <c r="G56" s="527">
        <v>0</v>
      </c>
      <c r="H56" s="527">
        <f t="shared" si="0"/>
        <v>15161</v>
      </c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</row>
    <row r="57" spans="1:20" s="519" customFormat="1" ht="12.75" customHeight="1">
      <c r="A57" s="526"/>
      <c r="B57" s="542"/>
      <c r="C57" s="539" t="s">
        <v>20</v>
      </c>
      <c r="D57" s="527">
        <f>SUM(D58:D59)</f>
        <v>276551</v>
      </c>
      <c r="E57" s="527">
        <f>SUM(E58:E59)</f>
        <v>276551</v>
      </c>
      <c r="F57" s="527">
        <f>SUM(F58:F59)</f>
        <v>276551</v>
      </c>
      <c r="G57" s="527">
        <f>SUM(G58:G59)</f>
        <v>-139100</v>
      </c>
      <c r="H57" s="527">
        <f t="shared" si="0"/>
        <v>137451</v>
      </c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</row>
    <row r="58" spans="1:20" s="519" customFormat="1" ht="12.75" customHeight="1">
      <c r="A58" s="526"/>
      <c r="B58" s="536"/>
      <c r="C58" s="540" t="s">
        <v>380</v>
      </c>
      <c r="D58" s="526">
        <v>209508</v>
      </c>
      <c r="E58" s="526">
        <v>209508</v>
      </c>
      <c r="F58" s="526">
        <v>209508</v>
      </c>
      <c r="G58" s="527">
        <v>-105378</v>
      </c>
      <c r="H58" s="527">
        <f t="shared" si="0"/>
        <v>104130</v>
      </c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</row>
    <row r="59" spans="1:20" s="519" customFormat="1" ht="12.75" customHeight="1">
      <c r="A59" s="526"/>
      <c r="B59" s="536"/>
      <c r="C59" s="541" t="s">
        <v>441</v>
      </c>
      <c r="D59" s="526">
        <v>67043</v>
      </c>
      <c r="E59" s="526">
        <v>67043</v>
      </c>
      <c r="F59" s="526">
        <v>67043</v>
      </c>
      <c r="G59" s="527">
        <v>-33722</v>
      </c>
      <c r="H59" s="527">
        <f t="shared" si="0"/>
        <v>33321</v>
      </c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</row>
    <row r="60" spans="1:20" s="519" customFormat="1" ht="12.75" customHeight="1">
      <c r="A60" s="526"/>
      <c r="B60" s="536" t="s">
        <v>271</v>
      </c>
      <c r="C60" s="537" t="s">
        <v>1</v>
      </c>
      <c r="D60" s="527">
        <f>SUM(D61,D64)</f>
        <v>34066</v>
      </c>
      <c r="E60" s="527">
        <f>SUM(E61,E64)</f>
        <v>34066</v>
      </c>
      <c r="F60" s="527">
        <f>SUM(F61,F64)</f>
        <v>34066</v>
      </c>
      <c r="G60" s="527">
        <f>SUM(G61,G64)</f>
        <v>-12315</v>
      </c>
      <c r="H60" s="527">
        <f t="shared" si="0"/>
        <v>21751</v>
      </c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</row>
    <row r="61" spans="1:20" s="519" customFormat="1" ht="12.75" customHeight="1">
      <c r="A61" s="526"/>
      <c r="B61" s="536"/>
      <c r="C61" s="539" t="s">
        <v>159</v>
      </c>
      <c r="D61" s="527">
        <f>SUM(D62:D63)</f>
        <v>8344</v>
      </c>
      <c r="E61" s="527">
        <f>SUM(E62:E63)</f>
        <v>8344</v>
      </c>
      <c r="F61" s="527">
        <f>SUM(F62:F63)</f>
        <v>8344</v>
      </c>
      <c r="G61" s="527">
        <f>SUM(G62:G63)</f>
        <v>0</v>
      </c>
      <c r="H61" s="527">
        <f t="shared" si="0"/>
        <v>8344</v>
      </c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</row>
    <row r="62" spans="1:20" s="519" customFormat="1" ht="12.75" customHeight="1">
      <c r="A62" s="526"/>
      <c r="B62" s="536"/>
      <c r="C62" s="540" t="s">
        <v>380</v>
      </c>
      <c r="D62" s="526">
        <v>6321</v>
      </c>
      <c r="E62" s="526">
        <v>6321</v>
      </c>
      <c r="F62" s="526">
        <v>6321</v>
      </c>
      <c r="G62" s="527">
        <v>0</v>
      </c>
      <c r="H62" s="527">
        <f t="shared" si="0"/>
        <v>6321</v>
      </c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</row>
    <row r="63" spans="1:20" s="519" customFormat="1" ht="12.75" customHeight="1">
      <c r="A63" s="526"/>
      <c r="B63" s="536"/>
      <c r="C63" s="541" t="s">
        <v>441</v>
      </c>
      <c r="D63" s="526">
        <v>2023</v>
      </c>
      <c r="E63" s="526">
        <v>2023</v>
      </c>
      <c r="F63" s="526">
        <v>2023</v>
      </c>
      <c r="G63" s="527">
        <v>0</v>
      </c>
      <c r="H63" s="527">
        <f t="shared" si="0"/>
        <v>2023</v>
      </c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</row>
    <row r="64" spans="1:20" s="519" customFormat="1" ht="12.75" customHeight="1">
      <c r="A64" s="526"/>
      <c r="B64" s="542"/>
      <c r="C64" s="539" t="s">
        <v>20</v>
      </c>
      <c r="D64" s="527">
        <f>SUM(D65:D66)</f>
        <v>25722</v>
      </c>
      <c r="E64" s="527">
        <f>SUM(E65:E66)</f>
        <v>25722</v>
      </c>
      <c r="F64" s="527">
        <f>SUM(F65:F66)</f>
        <v>25722</v>
      </c>
      <c r="G64" s="527">
        <f>SUM(G65:G66)</f>
        <v>-12315</v>
      </c>
      <c r="H64" s="527">
        <f t="shared" si="0"/>
        <v>13407</v>
      </c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</row>
    <row r="65" spans="1:20" s="519" customFormat="1" ht="12.75" customHeight="1">
      <c r="A65" s="526"/>
      <c r="B65" s="536"/>
      <c r="C65" s="540" t="s">
        <v>380</v>
      </c>
      <c r="D65" s="526">
        <v>19486</v>
      </c>
      <c r="E65" s="526">
        <v>19486</v>
      </c>
      <c r="F65" s="526">
        <v>19486</v>
      </c>
      <c r="G65" s="527">
        <v>-9330</v>
      </c>
      <c r="H65" s="527">
        <f t="shared" si="0"/>
        <v>10156</v>
      </c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</row>
    <row r="66" spans="1:20" s="519" customFormat="1" ht="12.75" customHeight="1">
      <c r="A66" s="526"/>
      <c r="B66" s="536"/>
      <c r="C66" s="541" t="s">
        <v>441</v>
      </c>
      <c r="D66" s="526">
        <v>6236</v>
      </c>
      <c r="E66" s="526">
        <v>6236</v>
      </c>
      <c r="F66" s="526">
        <v>6236</v>
      </c>
      <c r="G66" s="527">
        <v>-2985</v>
      </c>
      <c r="H66" s="527">
        <f t="shared" si="0"/>
        <v>3251</v>
      </c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</row>
    <row r="67" spans="1:20" s="519" customFormat="1" ht="12.75" customHeight="1">
      <c r="A67" s="526"/>
      <c r="B67" s="536" t="s">
        <v>153</v>
      </c>
      <c r="C67" s="537" t="s">
        <v>207</v>
      </c>
      <c r="D67" s="527">
        <f>SUM(D68,D71)</f>
        <v>93259</v>
      </c>
      <c r="E67" s="527">
        <f>SUM(E68,E71)</f>
        <v>93259</v>
      </c>
      <c r="F67" s="527">
        <f>SUM(F68,F71)</f>
        <v>93259</v>
      </c>
      <c r="G67" s="527">
        <f>SUM(G68,G71)</f>
        <v>-29335</v>
      </c>
      <c r="H67" s="527">
        <f t="shared" si="0"/>
        <v>63924</v>
      </c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</row>
    <row r="68" spans="1:20" s="519" customFormat="1" ht="12.75" customHeight="1">
      <c r="A68" s="526"/>
      <c r="B68" s="536"/>
      <c r="C68" s="539" t="s">
        <v>159</v>
      </c>
      <c r="D68" s="527">
        <f>SUM(D69:D70)</f>
        <v>23911</v>
      </c>
      <c r="E68" s="527">
        <f>SUM(E69:E70)</f>
        <v>23911</v>
      </c>
      <c r="F68" s="527">
        <f>SUM(F69:F70)</f>
        <v>23911</v>
      </c>
      <c r="G68" s="527">
        <f>SUM(G69:G70)</f>
        <v>0</v>
      </c>
      <c r="H68" s="527">
        <f t="shared" si="0"/>
        <v>23911</v>
      </c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</row>
    <row r="69" spans="1:20" s="519" customFormat="1" ht="12.75" customHeight="1">
      <c r="A69" s="526"/>
      <c r="B69" s="536"/>
      <c r="C69" s="540" t="s">
        <v>380</v>
      </c>
      <c r="D69" s="526">
        <v>18114</v>
      </c>
      <c r="E69" s="526">
        <v>18114</v>
      </c>
      <c r="F69" s="526">
        <v>18114</v>
      </c>
      <c r="G69" s="527">
        <v>0</v>
      </c>
      <c r="H69" s="527">
        <f t="shared" si="0"/>
        <v>18114</v>
      </c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</row>
    <row r="70" spans="1:20" s="519" customFormat="1" ht="12.75" customHeight="1">
      <c r="A70" s="526"/>
      <c r="B70" s="536"/>
      <c r="C70" s="541" t="s">
        <v>441</v>
      </c>
      <c r="D70" s="526">
        <v>5797</v>
      </c>
      <c r="E70" s="526">
        <v>5797</v>
      </c>
      <c r="F70" s="526">
        <v>5797</v>
      </c>
      <c r="G70" s="527">
        <v>0</v>
      </c>
      <c r="H70" s="527">
        <f t="shared" si="0"/>
        <v>5797</v>
      </c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</row>
    <row r="71" spans="1:20" s="519" customFormat="1" ht="12.75" customHeight="1">
      <c r="A71" s="526"/>
      <c r="B71" s="542"/>
      <c r="C71" s="539" t="s">
        <v>20</v>
      </c>
      <c r="D71" s="527">
        <f>SUM(D72:D73)</f>
        <v>69348</v>
      </c>
      <c r="E71" s="527">
        <f>SUM(E72:E73)</f>
        <v>69348</v>
      </c>
      <c r="F71" s="527">
        <f>SUM(F72:F73)</f>
        <v>69348</v>
      </c>
      <c r="G71" s="527">
        <f>SUM(G72:G73)</f>
        <v>-29335</v>
      </c>
      <c r="H71" s="527">
        <f t="shared" si="0"/>
        <v>40013</v>
      </c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</row>
    <row r="72" spans="1:20" s="519" customFormat="1" ht="12.75" customHeight="1">
      <c r="A72" s="526"/>
      <c r="B72" s="536"/>
      <c r="C72" s="540" t="s">
        <v>380</v>
      </c>
      <c r="D72" s="526">
        <v>52536</v>
      </c>
      <c r="E72" s="526">
        <v>52536</v>
      </c>
      <c r="F72" s="526">
        <v>52536</v>
      </c>
      <c r="G72" s="527">
        <v>-22235</v>
      </c>
      <c r="H72" s="527">
        <f t="shared" si="0"/>
        <v>30301</v>
      </c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</row>
    <row r="73" spans="1:20" s="519" customFormat="1" ht="12.75" customHeight="1">
      <c r="A73" s="526"/>
      <c r="B73" s="536"/>
      <c r="C73" s="541" t="s">
        <v>441</v>
      </c>
      <c r="D73" s="526">
        <v>16812</v>
      </c>
      <c r="E73" s="526">
        <v>16812</v>
      </c>
      <c r="F73" s="526">
        <v>16812</v>
      </c>
      <c r="G73" s="527">
        <v>-7100</v>
      </c>
      <c r="H73" s="527">
        <f t="shared" si="0"/>
        <v>9712</v>
      </c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</row>
    <row r="74" spans="1:20" s="519" customFormat="1" ht="12.75" customHeight="1">
      <c r="A74" s="526"/>
      <c r="B74" s="536" t="s">
        <v>2</v>
      </c>
      <c r="C74" s="537" t="s">
        <v>269</v>
      </c>
      <c r="D74" s="527">
        <f>SUM(D75,D78)</f>
        <v>78000</v>
      </c>
      <c r="E74" s="527">
        <f>SUM(E75,E78)</f>
        <v>78000</v>
      </c>
      <c r="F74" s="527">
        <f>SUM(F75,F78)</f>
        <v>78000</v>
      </c>
      <c r="G74" s="527">
        <f>SUM(G75,G78)</f>
        <v>-20216</v>
      </c>
      <c r="H74" s="527">
        <f aca="true" t="shared" si="1" ref="H74:H96">SUM(F74:G74)</f>
        <v>57784</v>
      </c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</row>
    <row r="75" spans="1:20" s="519" customFormat="1" ht="12.75" customHeight="1">
      <c r="A75" s="526"/>
      <c r="B75" s="536"/>
      <c r="C75" s="539" t="s">
        <v>38</v>
      </c>
      <c r="D75" s="527">
        <f>SUM(D76:D77)</f>
        <v>35986</v>
      </c>
      <c r="E75" s="527">
        <f>SUM(E76:E77)</f>
        <v>35986</v>
      </c>
      <c r="F75" s="527">
        <f>SUM(F76:F77)</f>
        <v>35986</v>
      </c>
      <c r="G75" s="527">
        <f>SUM(G76:G77)</f>
        <v>0</v>
      </c>
      <c r="H75" s="527">
        <f t="shared" si="1"/>
        <v>35986</v>
      </c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</row>
    <row r="76" spans="1:20" s="519" customFormat="1" ht="12.75" customHeight="1">
      <c r="A76" s="526"/>
      <c r="B76" s="536"/>
      <c r="C76" s="540" t="s">
        <v>380</v>
      </c>
      <c r="D76" s="526">
        <v>27680</v>
      </c>
      <c r="E76" s="526">
        <v>27680</v>
      </c>
      <c r="F76" s="526">
        <v>27680</v>
      </c>
      <c r="G76" s="527">
        <v>0</v>
      </c>
      <c r="H76" s="527">
        <f t="shared" si="1"/>
        <v>27680</v>
      </c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</row>
    <row r="77" spans="1:20" s="519" customFormat="1" ht="12.75" customHeight="1">
      <c r="A77" s="526"/>
      <c r="B77" s="536"/>
      <c r="C77" s="541" t="s">
        <v>441</v>
      </c>
      <c r="D77" s="526">
        <v>8306</v>
      </c>
      <c r="E77" s="526">
        <v>8306</v>
      </c>
      <c r="F77" s="526">
        <v>8306</v>
      </c>
      <c r="G77" s="527">
        <v>0</v>
      </c>
      <c r="H77" s="527">
        <f t="shared" si="1"/>
        <v>8306</v>
      </c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</row>
    <row r="78" spans="1:20" s="519" customFormat="1" ht="12.75" customHeight="1">
      <c r="A78" s="526"/>
      <c r="B78" s="542"/>
      <c r="C78" s="539" t="s">
        <v>20</v>
      </c>
      <c r="D78" s="527">
        <f>SUM(D79:D80)</f>
        <v>42014</v>
      </c>
      <c r="E78" s="527">
        <f>SUM(E79:E80)</f>
        <v>42014</v>
      </c>
      <c r="F78" s="527">
        <f>SUM(F79:F80)</f>
        <v>42014</v>
      </c>
      <c r="G78" s="527">
        <f>SUM(G79:G80)</f>
        <v>-20216</v>
      </c>
      <c r="H78" s="527">
        <f t="shared" si="1"/>
        <v>21798</v>
      </c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</row>
    <row r="79" spans="1:20" s="519" customFormat="1" ht="12.75" customHeight="1">
      <c r="A79" s="526"/>
      <c r="B79" s="536"/>
      <c r="C79" s="540" t="s">
        <v>380</v>
      </c>
      <c r="D79" s="526">
        <v>31828</v>
      </c>
      <c r="E79" s="526">
        <v>31828</v>
      </c>
      <c r="F79" s="526">
        <v>31828</v>
      </c>
      <c r="G79" s="527">
        <v>-15316</v>
      </c>
      <c r="H79" s="527">
        <f t="shared" si="1"/>
        <v>16512</v>
      </c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</row>
    <row r="80" spans="1:20" s="519" customFormat="1" ht="12.75" customHeight="1">
      <c r="A80" s="526"/>
      <c r="B80" s="536"/>
      <c r="C80" s="541" t="s">
        <v>441</v>
      </c>
      <c r="D80" s="526">
        <v>10186</v>
      </c>
      <c r="E80" s="526">
        <v>10186</v>
      </c>
      <c r="F80" s="526">
        <v>10186</v>
      </c>
      <c r="G80" s="527">
        <v>-4900</v>
      </c>
      <c r="H80" s="527">
        <f t="shared" si="1"/>
        <v>5286</v>
      </c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</row>
    <row r="81" spans="1:20" s="519" customFormat="1" ht="12.75" customHeight="1">
      <c r="A81" s="526" t="s">
        <v>108</v>
      </c>
      <c r="B81" s="536" t="s">
        <v>503</v>
      </c>
      <c r="C81" s="541"/>
      <c r="D81" s="526">
        <v>0</v>
      </c>
      <c r="E81" s="526">
        <v>85781</v>
      </c>
      <c r="F81" s="526">
        <v>135781</v>
      </c>
      <c r="G81" s="527">
        <v>-71263</v>
      </c>
      <c r="H81" s="527">
        <f t="shared" si="1"/>
        <v>64518</v>
      </c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</row>
    <row r="82" spans="1:20" s="519" customFormat="1" ht="12.75" customHeight="1">
      <c r="A82" s="526" t="s">
        <v>369</v>
      </c>
      <c r="B82" s="863" t="s">
        <v>507</v>
      </c>
      <c r="C82" s="864"/>
      <c r="D82" s="526">
        <v>0</v>
      </c>
      <c r="E82" s="526">
        <v>2706</v>
      </c>
      <c r="F82" s="526">
        <v>0</v>
      </c>
      <c r="G82" s="527">
        <v>0</v>
      </c>
      <c r="H82" s="527">
        <f t="shared" si="1"/>
        <v>0</v>
      </c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</row>
    <row r="83" spans="1:20" s="519" customFormat="1" ht="12.75" customHeight="1">
      <c r="A83" s="526" t="s">
        <v>370</v>
      </c>
      <c r="B83" s="863" t="s">
        <v>506</v>
      </c>
      <c r="C83" s="864"/>
      <c r="D83" s="526">
        <v>0</v>
      </c>
      <c r="E83" s="526">
        <v>2340</v>
      </c>
      <c r="F83" s="526">
        <v>0</v>
      </c>
      <c r="G83" s="527">
        <v>0</v>
      </c>
      <c r="H83" s="527">
        <f t="shared" si="1"/>
        <v>0</v>
      </c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</row>
    <row r="84" spans="1:20" s="519" customFormat="1" ht="12.75" customHeight="1">
      <c r="A84" s="526" t="s">
        <v>371</v>
      </c>
      <c r="B84" s="543" t="s">
        <v>509</v>
      </c>
      <c r="C84" s="544"/>
      <c r="D84" s="526">
        <v>0</v>
      </c>
      <c r="E84" s="526">
        <v>338270</v>
      </c>
      <c r="F84" s="526">
        <v>460237</v>
      </c>
      <c r="G84" s="527">
        <v>427014</v>
      </c>
      <c r="H84" s="527">
        <f t="shared" si="1"/>
        <v>887251</v>
      </c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</row>
    <row r="85" spans="1:20" s="519" customFormat="1" ht="12.75" customHeight="1">
      <c r="A85" s="526"/>
      <c r="B85" s="543"/>
      <c r="C85" s="544" t="s">
        <v>510</v>
      </c>
      <c r="D85" s="526">
        <v>0</v>
      </c>
      <c r="E85" s="526">
        <v>289332</v>
      </c>
      <c r="F85" s="526">
        <v>284332</v>
      </c>
      <c r="G85" s="527">
        <v>458710</v>
      </c>
      <c r="H85" s="527">
        <f t="shared" si="1"/>
        <v>743042</v>
      </c>
      <c r="I85" s="270"/>
      <c r="J85" s="780"/>
      <c r="K85" s="270"/>
      <c r="L85" s="270"/>
      <c r="M85" s="270"/>
      <c r="N85" s="270"/>
      <c r="O85" s="270"/>
      <c r="P85" s="270"/>
      <c r="Q85" s="270"/>
      <c r="R85" s="270"/>
      <c r="S85" s="270"/>
      <c r="T85" s="270"/>
    </row>
    <row r="86" spans="1:20" s="519" customFormat="1" ht="12.75" customHeight="1">
      <c r="A86" s="526" t="s">
        <v>372</v>
      </c>
      <c r="B86" s="536" t="s">
        <v>505</v>
      </c>
      <c r="C86" s="541"/>
      <c r="D86" s="526">
        <v>0</v>
      </c>
      <c r="E86" s="526">
        <v>11498</v>
      </c>
      <c r="F86" s="526">
        <v>11498</v>
      </c>
      <c r="G86" s="527">
        <v>0</v>
      </c>
      <c r="H86" s="527">
        <f t="shared" si="1"/>
        <v>11498</v>
      </c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</row>
    <row r="87" spans="1:20" s="519" customFormat="1" ht="12.75" customHeight="1">
      <c r="A87" s="526" t="s">
        <v>273</v>
      </c>
      <c r="B87" s="536" t="s">
        <v>504</v>
      </c>
      <c r="C87" s="541"/>
      <c r="D87" s="526">
        <v>0</v>
      </c>
      <c r="E87" s="526">
        <v>19600</v>
      </c>
      <c r="F87" s="526">
        <v>19600</v>
      </c>
      <c r="G87" s="527">
        <v>0</v>
      </c>
      <c r="H87" s="527">
        <f t="shared" si="1"/>
        <v>19600</v>
      </c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</row>
    <row r="88" spans="1:20" s="519" customFormat="1" ht="12.75" customHeight="1">
      <c r="A88" s="526" t="s">
        <v>261</v>
      </c>
      <c r="B88" s="536" t="s">
        <v>502</v>
      </c>
      <c r="C88" s="541"/>
      <c r="D88" s="526">
        <v>0</v>
      </c>
      <c r="E88" s="526">
        <v>147116</v>
      </c>
      <c r="F88" s="526">
        <v>147116</v>
      </c>
      <c r="G88" s="527">
        <v>0</v>
      </c>
      <c r="H88" s="527">
        <f t="shared" si="1"/>
        <v>147116</v>
      </c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</row>
    <row r="89" spans="1:20" s="519" customFormat="1" ht="12.75" customHeight="1">
      <c r="A89" s="526" t="s">
        <v>437</v>
      </c>
      <c r="B89" s="536" t="s">
        <v>508</v>
      </c>
      <c r="C89" s="541"/>
      <c r="D89" s="526">
        <v>0</v>
      </c>
      <c r="E89" s="526">
        <v>366</v>
      </c>
      <c r="F89" s="526">
        <v>366</v>
      </c>
      <c r="G89" s="527">
        <v>0</v>
      </c>
      <c r="H89" s="527">
        <f t="shared" si="1"/>
        <v>366</v>
      </c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</row>
    <row r="90" spans="1:20" s="525" customFormat="1" ht="12">
      <c r="A90" s="523"/>
      <c r="B90" s="545" t="s">
        <v>564</v>
      </c>
      <c r="C90" s="546"/>
      <c r="D90" s="547">
        <f>SUM(D9:D12,D16:D21,D25:D29,D32:D33,D36:D37,D40,D43,D46,D49:D51,D52,D81,D82,D83,D84,D86,D87,D88,D89)</f>
        <v>941684</v>
      </c>
      <c r="E90" s="547">
        <f>SUM(E9:E12,E16:E21,E25:E29,E32:E33,E36:E37,E40,E43,E46,E49:E51,E52,E81,E82,E83,E84,E86,E87,E88,E89)</f>
        <v>1932328</v>
      </c>
      <c r="F90" s="547">
        <f>SUM(F9:F12,F16:F21,F25:F29,F32:F33,F36:F37,F40,F43,F46,F49:F51,F52,F81,F82,F83,F84,F86,F87,F88,F89)</f>
        <v>2065752</v>
      </c>
      <c r="G90" s="547">
        <f>SUM(G9:G12,G16:G21,G25:G29,G32:G33,G36:G37,G40,G43,G46,G49:G51,G52,G81,G82,G83,G84,G86,G87,G88,G89)</f>
        <v>182</v>
      </c>
      <c r="H90" s="524">
        <f t="shared" si="1"/>
        <v>2065934</v>
      </c>
      <c r="I90" s="747"/>
      <c r="J90" s="747"/>
      <c r="K90" s="747"/>
      <c r="L90" s="747"/>
      <c r="M90" s="747"/>
      <c r="N90" s="747"/>
      <c r="O90" s="747"/>
      <c r="P90" s="747"/>
      <c r="Q90" s="747"/>
      <c r="R90" s="747"/>
      <c r="S90" s="747"/>
      <c r="T90" s="747"/>
    </row>
    <row r="91" spans="1:20" s="519" customFormat="1" ht="12">
      <c r="A91" s="523" t="s">
        <v>161</v>
      </c>
      <c r="B91" s="545" t="s">
        <v>479</v>
      </c>
      <c r="C91" s="537"/>
      <c r="D91" s="526"/>
      <c r="E91" s="526"/>
      <c r="F91" s="526"/>
      <c r="G91" s="527"/>
      <c r="H91" s="527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</row>
    <row r="92" spans="1:20" s="519" customFormat="1" ht="12">
      <c r="A92" s="548" t="s">
        <v>208</v>
      </c>
      <c r="B92" s="549" t="s">
        <v>152</v>
      </c>
      <c r="C92" s="550"/>
      <c r="D92" s="526">
        <v>8000</v>
      </c>
      <c r="E92" s="526">
        <v>4645</v>
      </c>
      <c r="F92" s="526">
        <v>1678</v>
      </c>
      <c r="G92" s="527">
        <v>-744</v>
      </c>
      <c r="H92" s="527">
        <f t="shared" si="1"/>
        <v>934</v>
      </c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</row>
    <row r="93" spans="1:20" s="519" customFormat="1" ht="12">
      <c r="A93" s="551" t="s">
        <v>209</v>
      </c>
      <c r="B93" s="549" t="s">
        <v>162</v>
      </c>
      <c r="C93" s="550"/>
      <c r="D93" s="526">
        <v>70000</v>
      </c>
      <c r="E93" s="526">
        <v>58721</v>
      </c>
      <c r="F93" s="526">
        <v>1767</v>
      </c>
      <c r="G93" s="527">
        <v>-1329</v>
      </c>
      <c r="H93" s="527">
        <f t="shared" si="1"/>
        <v>438</v>
      </c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</row>
    <row r="94" spans="1:20" s="525" customFormat="1" ht="12">
      <c r="A94" s="523"/>
      <c r="B94" s="545" t="s">
        <v>565</v>
      </c>
      <c r="C94" s="552"/>
      <c r="D94" s="547">
        <f>SUM(D92:D93)</f>
        <v>78000</v>
      </c>
      <c r="E94" s="547">
        <f>SUM(E92:E93)</f>
        <v>63366</v>
      </c>
      <c r="F94" s="547">
        <f>SUM(F92:F93)</f>
        <v>3445</v>
      </c>
      <c r="G94" s="547">
        <f>SUM(G92:G93)</f>
        <v>-2073</v>
      </c>
      <c r="H94" s="524">
        <f t="shared" si="1"/>
        <v>1372</v>
      </c>
      <c r="I94" s="747"/>
      <c r="J94" s="747"/>
      <c r="K94" s="747"/>
      <c r="L94" s="747"/>
      <c r="M94" s="747"/>
      <c r="N94" s="747"/>
      <c r="O94" s="747"/>
      <c r="P94" s="747"/>
      <c r="Q94" s="747"/>
      <c r="R94" s="747"/>
      <c r="S94" s="747"/>
      <c r="T94" s="747"/>
    </row>
    <row r="95" spans="1:20" s="525" customFormat="1" ht="12">
      <c r="A95" s="523" t="s">
        <v>340</v>
      </c>
      <c r="B95" s="545" t="s">
        <v>258</v>
      </c>
      <c r="C95" s="552"/>
      <c r="D95" s="523">
        <v>1925832</v>
      </c>
      <c r="E95" s="523">
        <v>0</v>
      </c>
      <c r="F95" s="523">
        <v>0</v>
      </c>
      <c r="G95" s="523">
        <v>0</v>
      </c>
      <c r="H95" s="524">
        <f t="shared" si="1"/>
        <v>0</v>
      </c>
      <c r="I95" s="747"/>
      <c r="J95" s="747"/>
      <c r="K95" s="747"/>
      <c r="L95" s="747"/>
      <c r="M95" s="747"/>
      <c r="N95" s="747"/>
      <c r="O95" s="747"/>
      <c r="P95" s="747"/>
      <c r="Q95" s="747"/>
      <c r="R95" s="747"/>
      <c r="S95" s="747"/>
      <c r="T95" s="747"/>
    </row>
    <row r="96" spans="1:20" s="525" customFormat="1" ht="12">
      <c r="A96" s="523"/>
      <c r="B96" s="545" t="s">
        <v>563</v>
      </c>
      <c r="C96" s="553"/>
      <c r="D96" s="524">
        <f>SUM(D90,D94,D95)</f>
        <v>2945516</v>
      </c>
      <c r="E96" s="524">
        <f>SUM(E90,E94,E95)</f>
        <v>1995694</v>
      </c>
      <c r="F96" s="524">
        <f>SUM(F90,F94,F95)</f>
        <v>2069197</v>
      </c>
      <c r="G96" s="524">
        <f>SUM(G90,G94,G95)</f>
        <v>-1891</v>
      </c>
      <c r="H96" s="524">
        <f t="shared" si="1"/>
        <v>2067306</v>
      </c>
      <c r="I96" s="747"/>
      <c r="J96" s="747"/>
      <c r="K96" s="747"/>
      <c r="L96" s="747"/>
      <c r="M96" s="747"/>
      <c r="N96" s="747"/>
      <c r="O96" s="747"/>
      <c r="P96" s="747"/>
      <c r="Q96" s="747"/>
      <c r="R96" s="747"/>
      <c r="S96" s="747"/>
      <c r="T96" s="747"/>
    </row>
  </sheetData>
  <sheetProtection/>
  <mergeCells count="14">
    <mergeCell ref="B18:C18"/>
    <mergeCell ref="B19:C19"/>
    <mergeCell ref="A2:H2"/>
    <mergeCell ref="A3:H3"/>
    <mergeCell ref="B8:C8"/>
    <mergeCell ref="B9:C9"/>
    <mergeCell ref="B82:C82"/>
    <mergeCell ref="B83:C83"/>
    <mergeCell ref="B20:C20"/>
    <mergeCell ref="B52:C52"/>
    <mergeCell ref="B51:C51"/>
    <mergeCell ref="B33:C33"/>
    <mergeCell ref="B21:C21"/>
    <mergeCell ref="B49:C4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CE,Normál"2/a. számú melléklet
</oddHeader>
    <oddFooter>&amp;L&amp;"Times New Roman CE,Normál"&amp;8&amp;F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.7109375" style="102" customWidth="1"/>
    <col min="2" max="2" width="25.421875" style="102" customWidth="1"/>
    <col min="3" max="3" width="23.421875" style="131" customWidth="1"/>
    <col min="4" max="4" width="8.28125" style="102" customWidth="1"/>
    <col min="5" max="5" width="10.7109375" style="102" customWidth="1"/>
    <col min="6" max="6" width="10.8515625" style="102" customWidth="1"/>
    <col min="7" max="7" width="8.421875" style="198" customWidth="1"/>
    <col min="8" max="8" width="10.8515625" style="102" customWidth="1"/>
    <col min="9" max="16384" width="9.140625" style="102" customWidth="1"/>
  </cols>
  <sheetData>
    <row r="1" spans="1:8" ht="15" customHeight="1">
      <c r="A1" s="858" t="s">
        <v>285</v>
      </c>
      <c r="B1" s="858"/>
      <c r="C1" s="858"/>
      <c r="D1" s="858"/>
      <c r="E1" s="858"/>
      <c r="F1" s="858"/>
      <c r="G1" s="858"/>
      <c r="H1" s="858"/>
    </row>
    <row r="2" spans="1:8" ht="15" customHeight="1">
      <c r="A2" s="858" t="s">
        <v>319</v>
      </c>
      <c r="B2" s="858"/>
      <c r="C2" s="858"/>
      <c r="D2" s="858"/>
      <c r="E2" s="858"/>
      <c r="F2" s="858"/>
      <c r="G2" s="858"/>
      <c r="H2" s="858"/>
    </row>
    <row r="3" spans="3:8" s="554" customFormat="1" ht="18" customHeight="1">
      <c r="C3" s="570"/>
      <c r="D3" s="659"/>
      <c r="E3" s="659"/>
      <c r="F3" s="659"/>
      <c r="G3" s="519"/>
      <c r="H3" s="658" t="s">
        <v>377</v>
      </c>
    </row>
    <row r="4" spans="1:8" s="554" customFormat="1" ht="39.75" customHeight="1">
      <c r="A4" s="520" t="s">
        <v>215</v>
      </c>
      <c r="B4" s="714" t="s">
        <v>300</v>
      </c>
      <c r="C4" s="751" t="s">
        <v>91</v>
      </c>
      <c r="D4" s="713" t="s">
        <v>297</v>
      </c>
      <c r="E4" s="712" t="s">
        <v>570</v>
      </c>
      <c r="F4" s="712" t="s">
        <v>635</v>
      </c>
      <c r="G4" s="520" t="s">
        <v>572</v>
      </c>
      <c r="H4" s="712" t="s">
        <v>716</v>
      </c>
    </row>
    <row r="5" spans="1:8" s="554" customFormat="1" ht="9.75" customHeight="1">
      <c r="A5" s="560" t="s">
        <v>208</v>
      </c>
      <c r="B5" s="704" t="s">
        <v>209</v>
      </c>
      <c r="C5" s="705" t="s">
        <v>210</v>
      </c>
      <c r="D5" s="705" t="s">
        <v>182</v>
      </c>
      <c r="E5" s="705" t="s">
        <v>183</v>
      </c>
      <c r="F5" s="705" t="s">
        <v>184</v>
      </c>
      <c r="G5" s="705" t="s">
        <v>185</v>
      </c>
      <c r="H5" s="705" t="s">
        <v>186</v>
      </c>
    </row>
    <row r="6" spans="1:8" s="722" customFormat="1" ht="12.75" customHeight="1">
      <c r="A6" s="718" t="s">
        <v>480</v>
      </c>
      <c r="B6" s="860" t="s">
        <v>64</v>
      </c>
      <c r="C6" s="861"/>
      <c r="D6" s="720">
        <f>SUM(D25,D63)</f>
        <v>498626</v>
      </c>
      <c r="E6" s="720">
        <f>SUM(E25,E63)</f>
        <v>983539</v>
      </c>
      <c r="F6" s="720">
        <f>SUM(F25,F63)</f>
        <v>988701</v>
      </c>
      <c r="G6" s="720">
        <f>SUM(G25,G63)</f>
        <v>490</v>
      </c>
      <c r="H6" s="720">
        <f>SUM(F6:G6)</f>
        <v>989191</v>
      </c>
    </row>
    <row r="7" spans="1:8" s="722" customFormat="1" ht="12.75" customHeight="1">
      <c r="A7" s="718"/>
      <c r="B7" s="719"/>
      <c r="C7" s="745"/>
      <c r="D7" s="728"/>
      <c r="E7" s="728"/>
      <c r="F7" s="728"/>
      <c r="G7" s="720"/>
      <c r="H7" s="721"/>
    </row>
    <row r="8" spans="1:8" s="722" customFormat="1" ht="12.75" customHeight="1">
      <c r="A8" s="718"/>
      <c r="B8" s="741" t="s">
        <v>60</v>
      </c>
      <c r="C8" s="745"/>
      <c r="D8" s="728"/>
      <c r="E8" s="728"/>
      <c r="F8" s="728"/>
      <c r="G8" s="720"/>
      <c r="H8" s="721"/>
    </row>
    <row r="9" spans="1:8" s="554" customFormat="1" ht="11.25">
      <c r="A9" s="718"/>
      <c r="B9" s="734" t="s">
        <v>269</v>
      </c>
      <c r="C9" s="733"/>
      <c r="D9" s="728"/>
      <c r="E9" s="728"/>
      <c r="F9" s="728"/>
      <c r="G9" s="728"/>
      <c r="H9" s="757"/>
    </row>
    <row r="10" spans="1:8" s="554" customFormat="1" ht="22.5">
      <c r="A10" s="725" t="s">
        <v>208</v>
      </c>
      <c r="B10" s="758" t="s">
        <v>14</v>
      </c>
      <c r="C10" s="735" t="s">
        <v>15</v>
      </c>
      <c r="D10" s="728">
        <v>9400</v>
      </c>
      <c r="E10" s="728">
        <v>9400</v>
      </c>
      <c r="F10" s="728">
        <v>9655</v>
      </c>
      <c r="G10" s="728">
        <v>0</v>
      </c>
      <c r="H10" s="728">
        <f>SUM(F10:G10)</f>
        <v>9655</v>
      </c>
    </row>
    <row r="11" spans="1:8" s="554" customFormat="1" ht="22.5">
      <c r="A11" s="725" t="s">
        <v>209</v>
      </c>
      <c r="B11" s="758" t="s">
        <v>220</v>
      </c>
      <c r="C11" s="735" t="s">
        <v>221</v>
      </c>
      <c r="D11" s="728">
        <v>50000</v>
      </c>
      <c r="E11" s="728">
        <v>50000</v>
      </c>
      <c r="F11" s="728">
        <v>50000</v>
      </c>
      <c r="G11" s="728">
        <v>0</v>
      </c>
      <c r="H11" s="728">
        <f aca="true" t="shared" si="0" ref="H11:H25">SUM(F11:G11)</f>
        <v>50000</v>
      </c>
    </row>
    <row r="12" spans="1:8" s="554" customFormat="1" ht="22.5">
      <c r="A12" s="725" t="s">
        <v>210</v>
      </c>
      <c r="B12" s="758" t="s">
        <v>381</v>
      </c>
      <c r="C12" s="735" t="s">
        <v>382</v>
      </c>
      <c r="D12" s="728">
        <v>60000</v>
      </c>
      <c r="E12" s="728">
        <v>60000</v>
      </c>
      <c r="F12" s="728">
        <v>60000</v>
      </c>
      <c r="G12" s="728">
        <v>0</v>
      </c>
      <c r="H12" s="728">
        <f t="shared" si="0"/>
        <v>60000</v>
      </c>
    </row>
    <row r="13" spans="1:8" s="554" customFormat="1" ht="11.25">
      <c r="A13" s="725" t="s">
        <v>182</v>
      </c>
      <c r="B13" s="758" t="s">
        <v>389</v>
      </c>
      <c r="C13" s="735" t="s">
        <v>16</v>
      </c>
      <c r="D13" s="728">
        <v>770</v>
      </c>
      <c r="E13" s="728">
        <v>770</v>
      </c>
      <c r="F13" s="728">
        <v>770</v>
      </c>
      <c r="G13" s="728">
        <v>0</v>
      </c>
      <c r="H13" s="728">
        <f t="shared" si="0"/>
        <v>770</v>
      </c>
    </row>
    <row r="14" spans="1:8" s="554" customFormat="1" ht="11.25">
      <c r="A14" s="725" t="s">
        <v>183</v>
      </c>
      <c r="B14" s="758" t="s">
        <v>473</v>
      </c>
      <c r="C14" s="735" t="s">
        <v>511</v>
      </c>
      <c r="D14" s="728">
        <v>0</v>
      </c>
      <c r="E14" s="728">
        <v>239811</v>
      </c>
      <c r="F14" s="728">
        <v>239811</v>
      </c>
      <c r="G14" s="728">
        <v>0</v>
      </c>
      <c r="H14" s="728">
        <f t="shared" si="0"/>
        <v>239811</v>
      </c>
    </row>
    <row r="15" spans="1:8" s="554" customFormat="1" ht="22.5" customHeight="1">
      <c r="A15" s="725" t="s">
        <v>184</v>
      </c>
      <c r="B15" s="735" t="s">
        <v>642</v>
      </c>
      <c r="C15" s="735" t="s">
        <v>643</v>
      </c>
      <c r="D15" s="728">
        <v>0</v>
      </c>
      <c r="E15" s="728">
        <v>0</v>
      </c>
      <c r="F15" s="728">
        <v>0</v>
      </c>
      <c r="G15" s="728">
        <v>50</v>
      </c>
      <c r="H15" s="728">
        <f t="shared" si="0"/>
        <v>50</v>
      </c>
    </row>
    <row r="16" spans="1:8" s="722" customFormat="1" ht="10.5">
      <c r="A16" s="718"/>
      <c r="B16" s="734" t="s">
        <v>390</v>
      </c>
      <c r="C16" s="740"/>
      <c r="D16" s="720">
        <f>SUM(D10:D15)</f>
        <v>120170</v>
      </c>
      <c r="E16" s="720">
        <f>SUM(E10:E15)</f>
        <v>359981</v>
      </c>
      <c r="F16" s="720">
        <f>SUM(F10:F15)</f>
        <v>360236</v>
      </c>
      <c r="G16" s="720">
        <f>SUM(G10:G15)</f>
        <v>50</v>
      </c>
      <c r="H16" s="720">
        <f t="shared" si="0"/>
        <v>360286</v>
      </c>
    </row>
    <row r="17" spans="1:8" s="722" customFormat="1" ht="11.25">
      <c r="A17" s="718"/>
      <c r="B17" s="734" t="s">
        <v>473</v>
      </c>
      <c r="C17" s="740"/>
      <c r="D17" s="720"/>
      <c r="E17" s="720"/>
      <c r="F17" s="720"/>
      <c r="G17" s="720"/>
      <c r="H17" s="728"/>
    </row>
    <row r="18" spans="1:8" s="722" customFormat="1" ht="11.25">
      <c r="A18" s="718"/>
      <c r="B18" s="734" t="s">
        <v>170</v>
      </c>
      <c r="C18" s="740"/>
      <c r="D18" s="720"/>
      <c r="E18" s="720"/>
      <c r="F18" s="720"/>
      <c r="G18" s="720"/>
      <c r="H18" s="728"/>
    </row>
    <row r="19" spans="1:8" s="554" customFormat="1" ht="22.5">
      <c r="A19" s="725" t="s">
        <v>185</v>
      </c>
      <c r="B19" s="758" t="s">
        <v>269</v>
      </c>
      <c r="C19" s="735" t="s">
        <v>528</v>
      </c>
      <c r="D19" s="728">
        <v>0</v>
      </c>
      <c r="E19" s="728">
        <v>109231</v>
      </c>
      <c r="F19" s="728">
        <v>109231</v>
      </c>
      <c r="G19" s="728">
        <v>0</v>
      </c>
      <c r="H19" s="728">
        <f t="shared" si="0"/>
        <v>109231</v>
      </c>
    </row>
    <row r="20" spans="1:8" s="554" customFormat="1" ht="11.25">
      <c r="A20" s="725"/>
      <c r="B20" s="734" t="s">
        <v>204</v>
      </c>
      <c r="C20" s="735"/>
      <c r="D20" s="728"/>
      <c r="E20" s="728"/>
      <c r="F20" s="728"/>
      <c r="G20" s="728"/>
      <c r="H20" s="728"/>
    </row>
    <row r="21" spans="1:8" s="554" customFormat="1" ht="22.5">
      <c r="A21" s="725" t="s">
        <v>186</v>
      </c>
      <c r="B21" s="758" t="s">
        <v>269</v>
      </c>
      <c r="C21" s="735" t="s">
        <v>528</v>
      </c>
      <c r="D21" s="728">
        <v>0</v>
      </c>
      <c r="E21" s="728">
        <v>6741</v>
      </c>
      <c r="F21" s="728">
        <v>6741</v>
      </c>
      <c r="G21" s="728">
        <v>0</v>
      </c>
      <c r="H21" s="728">
        <f t="shared" si="0"/>
        <v>6741</v>
      </c>
    </row>
    <row r="22" spans="1:8" s="554" customFormat="1" ht="11.25">
      <c r="A22" s="725"/>
      <c r="B22" s="734" t="s">
        <v>207</v>
      </c>
      <c r="C22" s="735"/>
      <c r="D22" s="728"/>
      <c r="E22" s="728"/>
      <c r="F22" s="728"/>
      <c r="G22" s="728"/>
      <c r="H22" s="728"/>
    </row>
    <row r="23" spans="1:8" s="554" customFormat="1" ht="22.5">
      <c r="A23" s="725" t="s">
        <v>187</v>
      </c>
      <c r="B23" s="758" t="s">
        <v>269</v>
      </c>
      <c r="C23" s="735" t="s">
        <v>528</v>
      </c>
      <c r="D23" s="728">
        <v>0</v>
      </c>
      <c r="E23" s="728">
        <v>47328</v>
      </c>
      <c r="F23" s="728">
        <v>47328</v>
      </c>
      <c r="G23" s="728">
        <v>0</v>
      </c>
      <c r="H23" s="728">
        <f t="shared" si="0"/>
        <v>47328</v>
      </c>
    </row>
    <row r="24" spans="1:8" s="722" customFormat="1" ht="10.5">
      <c r="A24" s="718"/>
      <c r="B24" s="734" t="s">
        <v>459</v>
      </c>
      <c r="C24" s="740"/>
      <c r="D24" s="720">
        <f>SUM(D19,D21,D23)</f>
        <v>0</v>
      </c>
      <c r="E24" s="720">
        <f>SUM(E19,E21,E23)</f>
        <v>163300</v>
      </c>
      <c r="F24" s="720">
        <f>SUM(F19,F21,F23)</f>
        <v>163300</v>
      </c>
      <c r="G24" s="720">
        <f>SUM(G19,G21,G23)</f>
        <v>0</v>
      </c>
      <c r="H24" s="720">
        <f t="shared" si="0"/>
        <v>163300</v>
      </c>
    </row>
    <row r="25" spans="1:8" s="722" customFormat="1" ht="12.75" customHeight="1">
      <c r="A25" s="718"/>
      <c r="B25" s="859" t="s">
        <v>391</v>
      </c>
      <c r="C25" s="859"/>
      <c r="D25" s="720">
        <f>SUM(D16,D24)</f>
        <v>120170</v>
      </c>
      <c r="E25" s="720">
        <f>SUM(E16,E24)</f>
        <v>523281</v>
      </c>
      <c r="F25" s="720">
        <f>SUM(F16,F24)</f>
        <v>523536</v>
      </c>
      <c r="G25" s="720">
        <f>SUM(G16,G24)</f>
        <v>50</v>
      </c>
      <c r="H25" s="720">
        <f t="shared" si="0"/>
        <v>523586</v>
      </c>
    </row>
    <row r="26" spans="1:8" s="722" customFormat="1" ht="11.25">
      <c r="A26" s="739"/>
      <c r="B26" s="721"/>
      <c r="C26" s="740"/>
      <c r="D26" s="728"/>
      <c r="E26" s="728"/>
      <c r="F26" s="728"/>
      <c r="G26" s="720"/>
      <c r="H26" s="721"/>
    </row>
    <row r="27" spans="1:8" s="722" customFormat="1" ht="12.75" customHeight="1">
      <c r="A27" s="718"/>
      <c r="B27" s="859" t="s">
        <v>470</v>
      </c>
      <c r="C27" s="859"/>
      <c r="D27" s="728"/>
      <c r="E27" s="728"/>
      <c r="F27" s="728"/>
      <c r="G27" s="720"/>
      <c r="H27" s="721"/>
    </row>
    <row r="28" spans="1:8" s="722" customFormat="1" ht="11.25">
      <c r="A28" s="718"/>
      <c r="B28" s="734" t="s">
        <v>269</v>
      </c>
      <c r="C28" s="740"/>
      <c r="D28" s="728"/>
      <c r="E28" s="728"/>
      <c r="F28" s="728"/>
      <c r="G28" s="720"/>
      <c r="H28" s="721"/>
    </row>
    <row r="29" spans="1:8" s="554" customFormat="1" ht="22.5">
      <c r="A29" s="725" t="s">
        <v>188</v>
      </c>
      <c r="B29" s="758" t="s">
        <v>7</v>
      </c>
      <c r="C29" s="735" t="s">
        <v>58</v>
      </c>
      <c r="D29" s="728">
        <v>18700</v>
      </c>
      <c r="E29" s="728">
        <v>18700</v>
      </c>
      <c r="F29" s="728">
        <v>18700</v>
      </c>
      <c r="G29" s="728">
        <v>0</v>
      </c>
      <c r="H29" s="728">
        <f>SUM(F29:G29)</f>
        <v>18700</v>
      </c>
    </row>
    <row r="30" spans="1:8" s="554" customFormat="1" ht="11.25">
      <c r="A30" s="725" t="s">
        <v>189</v>
      </c>
      <c r="B30" s="758" t="s">
        <v>8</v>
      </c>
      <c r="C30" s="735" t="s">
        <v>16</v>
      </c>
      <c r="D30" s="728">
        <v>2000</v>
      </c>
      <c r="E30" s="728">
        <v>2000</v>
      </c>
      <c r="F30" s="728">
        <v>2000</v>
      </c>
      <c r="G30" s="728">
        <v>0</v>
      </c>
      <c r="H30" s="728">
        <f aca="true" t="shared" si="1" ref="H30:H63">SUM(F30:G30)</f>
        <v>2000</v>
      </c>
    </row>
    <row r="31" spans="1:8" s="554" customFormat="1" ht="11.25">
      <c r="A31" s="725" t="s">
        <v>190</v>
      </c>
      <c r="B31" s="758" t="s">
        <v>9</v>
      </c>
      <c r="C31" s="735" t="s">
        <v>16</v>
      </c>
      <c r="D31" s="728">
        <v>2500</v>
      </c>
      <c r="E31" s="728">
        <v>2500</v>
      </c>
      <c r="F31" s="728">
        <v>1944</v>
      </c>
      <c r="G31" s="728">
        <v>0</v>
      </c>
      <c r="H31" s="728">
        <f t="shared" si="1"/>
        <v>1944</v>
      </c>
    </row>
    <row r="32" spans="1:8" s="554" customFormat="1" ht="11.25">
      <c r="A32" s="725" t="s">
        <v>191</v>
      </c>
      <c r="B32" s="758" t="s">
        <v>222</v>
      </c>
      <c r="C32" s="735" t="s">
        <v>16</v>
      </c>
      <c r="D32" s="728">
        <v>22500</v>
      </c>
      <c r="E32" s="728">
        <v>22500</v>
      </c>
      <c r="F32" s="728">
        <v>22500</v>
      </c>
      <c r="G32" s="728">
        <v>0</v>
      </c>
      <c r="H32" s="728">
        <f t="shared" si="1"/>
        <v>22500</v>
      </c>
    </row>
    <row r="33" spans="1:8" s="554" customFormat="1" ht="11.25">
      <c r="A33" s="725" t="s">
        <v>324</v>
      </c>
      <c r="B33" s="758" t="s">
        <v>22</v>
      </c>
      <c r="C33" s="735" t="s">
        <v>16</v>
      </c>
      <c r="D33" s="759">
        <v>10000</v>
      </c>
      <c r="E33" s="759">
        <v>10000</v>
      </c>
      <c r="F33" s="759">
        <v>10000</v>
      </c>
      <c r="G33" s="728">
        <v>0</v>
      </c>
      <c r="H33" s="728">
        <f t="shared" si="1"/>
        <v>10000</v>
      </c>
    </row>
    <row r="34" spans="1:8" s="554" customFormat="1" ht="11.25">
      <c r="A34" s="725" t="s">
        <v>325</v>
      </c>
      <c r="B34" s="758" t="s">
        <v>23</v>
      </c>
      <c r="C34" s="735" t="s">
        <v>16</v>
      </c>
      <c r="D34" s="759">
        <v>8685</v>
      </c>
      <c r="E34" s="759">
        <v>8685</v>
      </c>
      <c r="F34" s="759">
        <v>8595</v>
      </c>
      <c r="G34" s="728">
        <v>0</v>
      </c>
      <c r="H34" s="728">
        <f t="shared" si="1"/>
        <v>8595</v>
      </c>
    </row>
    <row r="35" spans="1:8" s="554" customFormat="1" ht="11.25">
      <c r="A35" s="725" t="s">
        <v>327</v>
      </c>
      <c r="B35" s="792" t="s">
        <v>154</v>
      </c>
      <c r="C35" s="793" t="s">
        <v>25</v>
      </c>
      <c r="D35" s="759">
        <v>1000</v>
      </c>
      <c r="E35" s="759">
        <v>1000</v>
      </c>
      <c r="F35" s="759">
        <v>1000</v>
      </c>
      <c r="G35" s="728">
        <v>0</v>
      </c>
      <c r="H35" s="759">
        <f t="shared" si="1"/>
        <v>1000</v>
      </c>
    </row>
    <row r="36" spans="1:8" s="554" customFormat="1" ht="11.25">
      <c r="A36" s="848" t="s">
        <v>331</v>
      </c>
      <c r="B36" s="792" t="s">
        <v>346</v>
      </c>
      <c r="C36" s="793" t="s">
        <v>16</v>
      </c>
      <c r="D36" s="790">
        <v>2600</v>
      </c>
      <c r="E36" s="760">
        <v>2600</v>
      </c>
      <c r="F36" s="760">
        <v>2600</v>
      </c>
      <c r="G36" s="760">
        <v>0</v>
      </c>
      <c r="H36" s="759">
        <f t="shared" si="1"/>
        <v>2600</v>
      </c>
    </row>
    <row r="37" spans="1:8" s="554" customFormat="1" ht="11.25">
      <c r="A37" s="849"/>
      <c r="B37" s="794" t="s">
        <v>461</v>
      </c>
      <c r="C37" s="795" t="s">
        <v>462</v>
      </c>
      <c r="D37" s="791">
        <v>1100</v>
      </c>
      <c r="E37" s="762">
        <v>1100</v>
      </c>
      <c r="F37" s="762">
        <v>1100</v>
      </c>
      <c r="G37" s="762">
        <v>0</v>
      </c>
      <c r="H37" s="763">
        <f t="shared" si="1"/>
        <v>1100</v>
      </c>
    </row>
    <row r="38" spans="1:8" s="554" customFormat="1" ht="11.25">
      <c r="A38" s="761" t="s">
        <v>333</v>
      </c>
      <c r="B38" s="794" t="s">
        <v>24</v>
      </c>
      <c r="C38" s="795" t="s">
        <v>21</v>
      </c>
      <c r="D38" s="763">
        <v>3000</v>
      </c>
      <c r="E38" s="763">
        <v>3000</v>
      </c>
      <c r="F38" s="763">
        <v>3000</v>
      </c>
      <c r="G38" s="728">
        <v>0</v>
      </c>
      <c r="H38" s="763">
        <f t="shared" si="1"/>
        <v>3000</v>
      </c>
    </row>
    <row r="39" spans="1:8" s="554" customFormat="1" ht="11.25">
      <c r="A39" s="761" t="s">
        <v>334</v>
      </c>
      <c r="B39" s="758" t="s">
        <v>42</v>
      </c>
      <c r="C39" s="735" t="s">
        <v>16</v>
      </c>
      <c r="D39" s="763">
        <v>2000</v>
      </c>
      <c r="E39" s="763">
        <v>2000</v>
      </c>
      <c r="F39" s="763">
        <v>2000</v>
      </c>
      <c r="G39" s="728">
        <v>0</v>
      </c>
      <c r="H39" s="728">
        <f t="shared" si="1"/>
        <v>2000</v>
      </c>
    </row>
    <row r="40" spans="1:8" s="554" customFormat="1" ht="11.25">
      <c r="A40" s="761" t="s">
        <v>336</v>
      </c>
      <c r="B40" s="758" t="s">
        <v>77</v>
      </c>
      <c r="C40" s="735" t="s">
        <v>16</v>
      </c>
      <c r="D40" s="728">
        <v>1800</v>
      </c>
      <c r="E40" s="728">
        <v>1800</v>
      </c>
      <c r="F40" s="728">
        <v>1800</v>
      </c>
      <c r="G40" s="728">
        <v>0</v>
      </c>
      <c r="H40" s="728">
        <f t="shared" si="1"/>
        <v>1800</v>
      </c>
    </row>
    <row r="41" spans="1:8" s="554" customFormat="1" ht="11.25">
      <c r="A41" s="761" t="s">
        <v>337</v>
      </c>
      <c r="B41" s="758" t="s">
        <v>230</v>
      </c>
      <c r="C41" s="735" t="s">
        <v>16</v>
      </c>
      <c r="D41" s="728">
        <v>1500</v>
      </c>
      <c r="E41" s="728">
        <v>1500</v>
      </c>
      <c r="F41" s="728">
        <v>1500</v>
      </c>
      <c r="G41" s="728">
        <v>0</v>
      </c>
      <c r="H41" s="728">
        <f t="shared" si="1"/>
        <v>1500</v>
      </c>
    </row>
    <row r="42" spans="1:8" s="554" customFormat="1" ht="11.25">
      <c r="A42" s="761" t="s">
        <v>338</v>
      </c>
      <c r="B42" s="758" t="s">
        <v>388</v>
      </c>
      <c r="C42" s="735" t="s">
        <v>16</v>
      </c>
      <c r="D42" s="728">
        <v>2000</v>
      </c>
      <c r="E42" s="728">
        <v>2000</v>
      </c>
      <c r="F42" s="728">
        <v>2000</v>
      </c>
      <c r="G42" s="728">
        <v>0</v>
      </c>
      <c r="H42" s="728">
        <f t="shared" si="1"/>
        <v>2000</v>
      </c>
    </row>
    <row r="43" spans="1:8" s="554" customFormat="1" ht="11.25">
      <c r="A43" s="761" t="s">
        <v>341</v>
      </c>
      <c r="B43" s="758" t="s">
        <v>27</v>
      </c>
      <c r="C43" s="735" t="s">
        <v>16</v>
      </c>
      <c r="D43" s="728">
        <v>3000</v>
      </c>
      <c r="E43" s="728">
        <v>3000</v>
      </c>
      <c r="F43" s="728">
        <v>3000</v>
      </c>
      <c r="G43" s="728">
        <v>0</v>
      </c>
      <c r="H43" s="728">
        <f t="shared" si="1"/>
        <v>3000</v>
      </c>
    </row>
    <row r="44" spans="1:8" s="554" customFormat="1" ht="22.5">
      <c r="A44" s="761" t="s">
        <v>103</v>
      </c>
      <c r="B44" s="758" t="s">
        <v>314</v>
      </c>
      <c r="C44" s="735" t="s">
        <v>120</v>
      </c>
      <c r="D44" s="728">
        <v>124000</v>
      </c>
      <c r="E44" s="728">
        <v>124000</v>
      </c>
      <c r="F44" s="728">
        <v>124000</v>
      </c>
      <c r="G44" s="728">
        <v>0</v>
      </c>
      <c r="H44" s="728">
        <f t="shared" si="1"/>
        <v>124000</v>
      </c>
    </row>
    <row r="45" spans="1:8" s="554" customFormat="1" ht="30" customHeight="1">
      <c r="A45" s="761" t="s">
        <v>104</v>
      </c>
      <c r="B45" s="758" t="s">
        <v>392</v>
      </c>
      <c r="C45" s="735" t="s">
        <v>28</v>
      </c>
      <c r="D45" s="728">
        <v>103258</v>
      </c>
      <c r="E45" s="728">
        <v>117689</v>
      </c>
      <c r="F45" s="728">
        <v>117689</v>
      </c>
      <c r="G45" s="728">
        <v>0</v>
      </c>
      <c r="H45" s="728">
        <f t="shared" si="1"/>
        <v>117689</v>
      </c>
    </row>
    <row r="46" spans="1:8" s="554" customFormat="1" ht="22.5">
      <c r="A46" s="761" t="s">
        <v>106</v>
      </c>
      <c r="B46" s="758" t="s">
        <v>392</v>
      </c>
      <c r="C46" s="735" t="s">
        <v>121</v>
      </c>
      <c r="D46" s="728">
        <v>53175</v>
      </c>
      <c r="E46" s="728">
        <v>61382</v>
      </c>
      <c r="F46" s="728">
        <v>61382</v>
      </c>
      <c r="G46" s="728">
        <v>0</v>
      </c>
      <c r="H46" s="728">
        <f t="shared" si="1"/>
        <v>61382</v>
      </c>
    </row>
    <row r="47" spans="1:8" s="554" customFormat="1" ht="22.5">
      <c r="A47" s="761" t="s">
        <v>108</v>
      </c>
      <c r="B47" s="758" t="s">
        <v>392</v>
      </c>
      <c r="C47" s="735" t="s">
        <v>122</v>
      </c>
      <c r="D47" s="728">
        <v>3194</v>
      </c>
      <c r="E47" s="728">
        <v>3624</v>
      </c>
      <c r="F47" s="728">
        <v>3624</v>
      </c>
      <c r="G47" s="728">
        <v>0</v>
      </c>
      <c r="H47" s="728">
        <f t="shared" si="1"/>
        <v>3624</v>
      </c>
    </row>
    <row r="48" spans="1:8" s="554" customFormat="1" ht="22.5" customHeight="1">
      <c r="A48" s="761" t="s">
        <v>369</v>
      </c>
      <c r="B48" s="758" t="s">
        <v>392</v>
      </c>
      <c r="C48" s="735" t="s">
        <v>26</v>
      </c>
      <c r="D48" s="728">
        <v>13544</v>
      </c>
      <c r="E48" s="728">
        <v>13544</v>
      </c>
      <c r="F48" s="728">
        <v>13544</v>
      </c>
      <c r="G48" s="728">
        <v>0</v>
      </c>
      <c r="H48" s="728">
        <f t="shared" si="1"/>
        <v>13544</v>
      </c>
    </row>
    <row r="49" spans="1:8" s="554" customFormat="1" ht="22.5">
      <c r="A49" s="761" t="s">
        <v>370</v>
      </c>
      <c r="B49" s="735" t="s">
        <v>513</v>
      </c>
      <c r="C49" s="758" t="s">
        <v>514</v>
      </c>
      <c r="D49" s="728">
        <v>0</v>
      </c>
      <c r="E49" s="728">
        <v>400</v>
      </c>
      <c r="F49" s="728">
        <v>400</v>
      </c>
      <c r="G49" s="728">
        <v>0</v>
      </c>
      <c r="H49" s="728">
        <f t="shared" si="1"/>
        <v>400</v>
      </c>
    </row>
    <row r="50" spans="1:8" s="554" customFormat="1" ht="11.25">
      <c r="A50" s="761" t="s">
        <v>371</v>
      </c>
      <c r="B50" s="758" t="s">
        <v>554</v>
      </c>
      <c r="C50" s="735" t="s">
        <v>512</v>
      </c>
      <c r="D50" s="728">
        <v>0</v>
      </c>
      <c r="E50" s="728">
        <v>364</v>
      </c>
      <c r="F50" s="728">
        <v>364</v>
      </c>
      <c r="G50" s="728">
        <v>0</v>
      </c>
      <c r="H50" s="728">
        <f t="shared" si="1"/>
        <v>364</v>
      </c>
    </row>
    <row r="51" spans="1:8" s="554" customFormat="1" ht="11.25" customHeight="1">
      <c r="A51" s="761" t="s">
        <v>372</v>
      </c>
      <c r="B51" s="758" t="s">
        <v>392</v>
      </c>
      <c r="C51" s="735" t="s">
        <v>515</v>
      </c>
      <c r="D51" s="728">
        <v>0</v>
      </c>
      <c r="E51" s="728">
        <v>44500</v>
      </c>
      <c r="F51" s="728">
        <v>44500</v>
      </c>
      <c r="G51" s="728">
        <v>0</v>
      </c>
      <c r="H51" s="728">
        <f t="shared" si="1"/>
        <v>44500</v>
      </c>
    </row>
    <row r="52" spans="1:8" s="554" customFormat="1" ht="11.25">
      <c r="A52" s="761" t="s">
        <v>273</v>
      </c>
      <c r="B52" s="758" t="s">
        <v>516</v>
      </c>
      <c r="C52" s="735" t="s">
        <v>16</v>
      </c>
      <c r="D52" s="728">
        <v>0</v>
      </c>
      <c r="E52" s="728">
        <v>2780</v>
      </c>
      <c r="F52" s="728">
        <v>4530</v>
      </c>
      <c r="G52" s="728">
        <v>250</v>
      </c>
      <c r="H52" s="728">
        <f t="shared" si="1"/>
        <v>4780</v>
      </c>
    </row>
    <row r="53" spans="1:8" s="554" customFormat="1" ht="30.75" customHeight="1">
      <c r="A53" s="761" t="s">
        <v>261</v>
      </c>
      <c r="B53" s="735" t="s">
        <v>517</v>
      </c>
      <c r="C53" s="735" t="s">
        <v>16</v>
      </c>
      <c r="D53" s="728">
        <v>0</v>
      </c>
      <c r="E53" s="728">
        <v>275</v>
      </c>
      <c r="F53" s="728">
        <v>275</v>
      </c>
      <c r="G53" s="728">
        <v>0</v>
      </c>
      <c r="H53" s="728">
        <f t="shared" si="1"/>
        <v>275</v>
      </c>
    </row>
    <row r="54" spans="1:8" s="554" customFormat="1" ht="11.25">
      <c r="A54" s="761" t="s">
        <v>437</v>
      </c>
      <c r="B54" s="735" t="s">
        <v>518</v>
      </c>
      <c r="C54" s="735" t="s">
        <v>16</v>
      </c>
      <c r="D54" s="728">
        <v>0</v>
      </c>
      <c r="E54" s="728">
        <v>10415</v>
      </c>
      <c r="F54" s="728">
        <v>10415</v>
      </c>
      <c r="G54" s="728">
        <v>215</v>
      </c>
      <c r="H54" s="728">
        <f t="shared" si="1"/>
        <v>10630</v>
      </c>
    </row>
    <row r="55" spans="1:8" s="554" customFormat="1" ht="22.5">
      <c r="A55" s="761" t="s">
        <v>438</v>
      </c>
      <c r="B55" s="735" t="s">
        <v>392</v>
      </c>
      <c r="C55" s="735" t="s">
        <v>578</v>
      </c>
      <c r="D55" s="728">
        <v>0</v>
      </c>
      <c r="E55" s="728">
        <v>0</v>
      </c>
      <c r="F55" s="728">
        <v>1363</v>
      </c>
      <c r="G55" s="728">
        <v>0</v>
      </c>
      <c r="H55" s="728">
        <f t="shared" si="1"/>
        <v>1363</v>
      </c>
    </row>
    <row r="56" spans="1:8" s="554" customFormat="1" ht="22.5">
      <c r="A56" s="761" t="s">
        <v>425</v>
      </c>
      <c r="B56" s="735" t="s">
        <v>621</v>
      </c>
      <c r="C56" s="735" t="s">
        <v>579</v>
      </c>
      <c r="D56" s="728">
        <v>0</v>
      </c>
      <c r="E56" s="728">
        <v>0</v>
      </c>
      <c r="F56" s="728">
        <v>100</v>
      </c>
      <c r="G56" s="728">
        <v>-100</v>
      </c>
      <c r="H56" s="728">
        <f t="shared" si="1"/>
        <v>0</v>
      </c>
    </row>
    <row r="57" spans="1:8" s="554" customFormat="1" ht="45">
      <c r="A57" s="761" t="s">
        <v>583</v>
      </c>
      <c r="B57" s="735" t="s">
        <v>580</v>
      </c>
      <c r="C57" s="735" t="s">
        <v>622</v>
      </c>
      <c r="D57" s="728">
        <v>0</v>
      </c>
      <c r="E57" s="728">
        <v>0</v>
      </c>
      <c r="F57" s="728">
        <v>200</v>
      </c>
      <c r="G57" s="728">
        <v>0</v>
      </c>
      <c r="H57" s="728">
        <f t="shared" si="1"/>
        <v>200</v>
      </c>
    </row>
    <row r="58" spans="1:8" s="554" customFormat="1" ht="33.75">
      <c r="A58" s="761" t="s">
        <v>587</v>
      </c>
      <c r="B58" s="735" t="s">
        <v>581</v>
      </c>
      <c r="C58" s="735" t="s">
        <v>582</v>
      </c>
      <c r="D58" s="728">
        <v>0</v>
      </c>
      <c r="E58" s="728">
        <v>0</v>
      </c>
      <c r="F58" s="728">
        <v>100</v>
      </c>
      <c r="G58" s="728">
        <v>0</v>
      </c>
      <c r="H58" s="728">
        <f t="shared" si="1"/>
        <v>100</v>
      </c>
    </row>
    <row r="59" spans="1:8" s="554" customFormat="1" ht="22.5">
      <c r="A59" s="761" t="s">
        <v>588</v>
      </c>
      <c r="B59" s="735" t="s">
        <v>584</v>
      </c>
      <c r="C59" s="735" t="s">
        <v>585</v>
      </c>
      <c r="D59" s="728">
        <v>0</v>
      </c>
      <c r="E59" s="728">
        <v>0</v>
      </c>
      <c r="F59" s="728">
        <v>40</v>
      </c>
      <c r="G59" s="728">
        <v>0</v>
      </c>
      <c r="H59" s="728">
        <f t="shared" si="1"/>
        <v>40</v>
      </c>
    </row>
    <row r="60" spans="1:8" s="554" customFormat="1" ht="11.25">
      <c r="A60" s="761" t="s">
        <v>647</v>
      </c>
      <c r="B60" s="735" t="s">
        <v>586</v>
      </c>
      <c r="C60" s="735" t="s">
        <v>16</v>
      </c>
      <c r="D60" s="764">
        <v>0</v>
      </c>
      <c r="E60" s="764">
        <v>0</v>
      </c>
      <c r="F60" s="764">
        <v>2000</v>
      </c>
      <c r="G60" s="728">
        <v>0</v>
      </c>
      <c r="H60" s="728">
        <f t="shared" si="1"/>
        <v>2000</v>
      </c>
    </row>
    <row r="61" spans="1:8" s="554" customFormat="1" ht="22.5" customHeight="1">
      <c r="A61" s="761" t="s">
        <v>648</v>
      </c>
      <c r="B61" s="735" t="s">
        <v>644</v>
      </c>
      <c r="C61" s="735" t="s">
        <v>16</v>
      </c>
      <c r="D61" s="764">
        <v>0</v>
      </c>
      <c r="E61" s="764">
        <v>0</v>
      </c>
      <c r="F61" s="764">
        <v>0</v>
      </c>
      <c r="G61" s="728">
        <v>75</v>
      </c>
      <c r="H61" s="728">
        <f t="shared" si="1"/>
        <v>75</v>
      </c>
    </row>
    <row r="62" spans="1:8" s="722" customFormat="1" ht="10.5">
      <c r="A62" s="718"/>
      <c r="B62" s="734" t="s">
        <v>390</v>
      </c>
      <c r="C62" s="740"/>
      <c r="D62" s="720">
        <f>SUM(D29:D61)-D37</f>
        <v>378456</v>
      </c>
      <c r="E62" s="720">
        <f>SUM(E29:E61)-E37</f>
        <v>460258</v>
      </c>
      <c r="F62" s="720">
        <f>SUM(F29:F61)-F37</f>
        <v>465165</v>
      </c>
      <c r="G62" s="720">
        <f>SUM(G29:G61)-G37</f>
        <v>440</v>
      </c>
      <c r="H62" s="720">
        <f t="shared" si="1"/>
        <v>465605</v>
      </c>
    </row>
    <row r="63" spans="1:8" s="722" customFormat="1" ht="12.75" customHeight="1">
      <c r="A63" s="718"/>
      <c r="B63" s="859" t="s">
        <v>393</v>
      </c>
      <c r="C63" s="859"/>
      <c r="D63" s="720">
        <f>SUM(D62)</f>
        <v>378456</v>
      </c>
      <c r="E63" s="720">
        <f>SUM(E62)</f>
        <v>460258</v>
      </c>
      <c r="F63" s="720">
        <f>SUM(F62)</f>
        <v>465165</v>
      </c>
      <c r="G63" s="720">
        <f>SUM(G62)</f>
        <v>440</v>
      </c>
      <c r="H63" s="720">
        <f t="shared" si="1"/>
        <v>465605</v>
      </c>
    </row>
    <row r="64" spans="1:8" s="722" customFormat="1" ht="11.25">
      <c r="A64" s="718"/>
      <c r="B64" s="733"/>
      <c r="C64" s="740"/>
      <c r="D64" s="728"/>
      <c r="E64" s="728"/>
      <c r="F64" s="728"/>
      <c r="G64" s="728"/>
      <c r="H64" s="728"/>
    </row>
    <row r="65" spans="1:8" s="722" customFormat="1" ht="12.75" customHeight="1">
      <c r="A65" s="718" t="s">
        <v>329</v>
      </c>
      <c r="B65" s="859" t="s">
        <v>65</v>
      </c>
      <c r="C65" s="859"/>
      <c r="D65" s="765">
        <f>SUM(D80,D95)</f>
        <v>140523</v>
      </c>
      <c r="E65" s="765">
        <f>SUM(E80,E95)</f>
        <v>2539035</v>
      </c>
      <c r="F65" s="765">
        <f>SUM(F80,F95)</f>
        <v>2537591</v>
      </c>
      <c r="G65" s="765">
        <f>SUM(G80,G95)</f>
        <v>-1096033</v>
      </c>
      <c r="H65" s="720">
        <f>SUM(F65:G65)</f>
        <v>1441558</v>
      </c>
    </row>
    <row r="66" spans="1:8" s="722" customFormat="1" ht="12.75" customHeight="1">
      <c r="A66" s="718"/>
      <c r="B66" s="741"/>
      <c r="C66" s="741"/>
      <c r="D66" s="766"/>
      <c r="E66" s="766"/>
      <c r="F66" s="766"/>
      <c r="G66" s="720"/>
      <c r="H66" s="721"/>
    </row>
    <row r="67" spans="1:8" s="722" customFormat="1" ht="12.75" customHeight="1">
      <c r="A67" s="718"/>
      <c r="B67" s="859" t="s">
        <v>471</v>
      </c>
      <c r="C67" s="859"/>
      <c r="D67" s="766"/>
      <c r="E67" s="766"/>
      <c r="F67" s="766"/>
      <c r="G67" s="720"/>
      <c r="H67" s="721"/>
    </row>
    <row r="68" spans="1:8" s="554" customFormat="1" ht="11.25">
      <c r="A68" s="718"/>
      <c r="B68" s="734" t="s">
        <v>269</v>
      </c>
      <c r="C68" s="767"/>
      <c r="D68" s="766"/>
      <c r="E68" s="766"/>
      <c r="F68" s="766"/>
      <c r="G68" s="728"/>
      <c r="H68" s="757"/>
    </row>
    <row r="69" spans="1:8" s="554" customFormat="1" ht="11.25">
      <c r="A69" s="725" t="s">
        <v>208</v>
      </c>
      <c r="B69" s="757" t="s">
        <v>10</v>
      </c>
      <c r="C69" s="727" t="s">
        <v>11</v>
      </c>
      <c r="D69" s="766">
        <v>95283</v>
      </c>
      <c r="E69" s="766">
        <v>1792547</v>
      </c>
      <c r="F69" s="766">
        <v>1792547</v>
      </c>
      <c r="G69" s="728">
        <v>-1190107</v>
      </c>
      <c r="H69" s="728">
        <f>SUM(F69:G69)</f>
        <v>602440</v>
      </c>
    </row>
    <row r="70" spans="1:8" s="554" customFormat="1" ht="22.5">
      <c r="A70" s="725" t="s">
        <v>209</v>
      </c>
      <c r="B70" s="757" t="s">
        <v>12</v>
      </c>
      <c r="C70" s="727" t="s">
        <v>116</v>
      </c>
      <c r="D70" s="766">
        <v>6460</v>
      </c>
      <c r="E70" s="766">
        <v>6460</v>
      </c>
      <c r="F70" s="766">
        <v>6460</v>
      </c>
      <c r="G70" s="728">
        <v>0</v>
      </c>
      <c r="H70" s="728">
        <f>SUM(F70:G70)</f>
        <v>6460</v>
      </c>
    </row>
    <row r="71" spans="1:8" s="554" customFormat="1" ht="11.25">
      <c r="A71" s="725" t="s">
        <v>210</v>
      </c>
      <c r="B71" s="757" t="s">
        <v>473</v>
      </c>
      <c r="C71" s="727" t="s">
        <v>511</v>
      </c>
      <c r="D71" s="766">
        <v>0</v>
      </c>
      <c r="E71" s="766">
        <v>121683</v>
      </c>
      <c r="F71" s="766">
        <v>121683</v>
      </c>
      <c r="G71" s="728">
        <v>0</v>
      </c>
      <c r="H71" s="728">
        <f>SUM(F71:G71)</f>
        <v>121683</v>
      </c>
    </row>
    <row r="72" spans="1:8" s="554" customFormat="1" ht="11.25">
      <c r="A72" s="725" t="s">
        <v>182</v>
      </c>
      <c r="B72" s="757" t="s">
        <v>519</v>
      </c>
      <c r="C72" s="727" t="s">
        <v>520</v>
      </c>
      <c r="D72" s="766">
        <v>0</v>
      </c>
      <c r="E72" s="766">
        <v>10540</v>
      </c>
      <c r="F72" s="766">
        <v>10540</v>
      </c>
      <c r="G72" s="728">
        <v>0</v>
      </c>
      <c r="H72" s="728">
        <f>SUM(F72:G72)</f>
        <v>10540</v>
      </c>
    </row>
    <row r="73" spans="1:8" s="554" customFormat="1" ht="11.25">
      <c r="A73" s="768"/>
      <c r="B73" s="721" t="s">
        <v>165</v>
      </c>
      <c r="C73" s="727"/>
      <c r="D73" s="765">
        <f>SUM(D69:D72)</f>
        <v>101743</v>
      </c>
      <c r="E73" s="765">
        <f>SUM(E69:E72)</f>
        <v>1931230</v>
      </c>
      <c r="F73" s="765">
        <f>SUM(F69:F72)</f>
        <v>1931230</v>
      </c>
      <c r="G73" s="765">
        <f>SUM(G69:G72)</f>
        <v>-1190107</v>
      </c>
      <c r="H73" s="720">
        <f>SUM(F73:G73)</f>
        <v>741123</v>
      </c>
    </row>
    <row r="74" spans="1:8" s="554" customFormat="1" ht="11.25">
      <c r="A74" s="768"/>
      <c r="B74" s="721" t="s">
        <v>473</v>
      </c>
      <c r="C74" s="727"/>
      <c r="D74" s="765"/>
      <c r="E74" s="765"/>
      <c r="F74" s="765"/>
      <c r="G74" s="765"/>
      <c r="H74" s="720"/>
    </row>
    <row r="75" spans="1:8" s="554" customFormat="1" ht="11.25">
      <c r="A75" s="768"/>
      <c r="B75" s="734" t="s">
        <v>170</v>
      </c>
      <c r="C75" s="740"/>
      <c r="D75" s="765"/>
      <c r="E75" s="765"/>
      <c r="F75" s="765"/>
      <c r="G75" s="765"/>
      <c r="H75" s="720"/>
    </row>
    <row r="76" spans="1:8" s="554" customFormat="1" ht="22.5">
      <c r="A76" s="768" t="s">
        <v>183</v>
      </c>
      <c r="B76" s="758" t="s">
        <v>269</v>
      </c>
      <c r="C76" s="735" t="s">
        <v>528</v>
      </c>
      <c r="D76" s="766">
        <v>0</v>
      </c>
      <c r="E76" s="766">
        <v>22484</v>
      </c>
      <c r="F76" s="766">
        <v>22484</v>
      </c>
      <c r="G76" s="766">
        <v>0</v>
      </c>
      <c r="H76" s="728">
        <f>SUM(F76:G76)</f>
        <v>22484</v>
      </c>
    </row>
    <row r="77" spans="1:8" s="554" customFormat="1" ht="11.25">
      <c r="A77" s="768"/>
      <c r="B77" s="734" t="s">
        <v>207</v>
      </c>
      <c r="C77" s="735"/>
      <c r="D77" s="765"/>
      <c r="E77" s="765"/>
      <c r="F77" s="765"/>
      <c r="G77" s="766"/>
      <c r="H77" s="728">
        <f>SUM(F77:G77)</f>
        <v>0</v>
      </c>
    </row>
    <row r="78" spans="1:8" s="554" customFormat="1" ht="22.5">
      <c r="A78" s="768" t="s">
        <v>184</v>
      </c>
      <c r="B78" s="758" t="s">
        <v>269</v>
      </c>
      <c r="C78" s="735" t="s">
        <v>528</v>
      </c>
      <c r="D78" s="766">
        <v>0</v>
      </c>
      <c r="E78" s="766">
        <v>27516</v>
      </c>
      <c r="F78" s="766">
        <v>27516</v>
      </c>
      <c r="G78" s="766">
        <v>0</v>
      </c>
      <c r="H78" s="728">
        <f>SUM(F78:G78)</f>
        <v>27516</v>
      </c>
    </row>
    <row r="79" spans="1:8" s="554" customFormat="1" ht="11.25">
      <c r="A79" s="768"/>
      <c r="B79" s="721" t="s">
        <v>459</v>
      </c>
      <c r="C79" s="727"/>
      <c r="D79" s="765">
        <f>SUM(D76,D78)</f>
        <v>0</v>
      </c>
      <c r="E79" s="765">
        <f>SUM(E76,E78)</f>
        <v>50000</v>
      </c>
      <c r="F79" s="765">
        <f>SUM(F76,F78)</f>
        <v>50000</v>
      </c>
      <c r="G79" s="765">
        <f>SUM(G76,G78)</f>
        <v>0</v>
      </c>
      <c r="H79" s="720">
        <f>SUM(F79:G79)</f>
        <v>50000</v>
      </c>
    </row>
    <row r="80" spans="1:8" s="722" customFormat="1" ht="12.75" customHeight="1">
      <c r="A80" s="718"/>
      <c r="B80" s="859" t="s">
        <v>566</v>
      </c>
      <c r="C80" s="859"/>
      <c r="D80" s="765">
        <f>SUM(D79,D73)</f>
        <v>101743</v>
      </c>
      <c r="E80" s="765">
        <f>SUM(E79,E73)</f>
        <v>1981230</v>
      </c>
      <c r="F80" s="765">
        <f>SUM(F79,F73)</f>
        <v>1981230</v>
      </c>
      <c r="G80" s="765">
        <f>SUM(G79,G73)</f>
        <v>-1190107</v>
      </c>
      <c r="H80" s="720">
        <f>SUM(F80:G80)</f>
        <v>791123</v>
      </c>
    </row>
    <row r="81" spans="1:8" s="722" customFormat="1" ht="12.75" customHeight="1">
      <c r="A81" s="718"/>
      <c r="B81" s="859" t="s">
        <v>472</v>
      </c>
      <c r="C81" s="859"/>
      <c r="D81" s="728"/>
      <c r="E81" s="728"/>
      <c r="F81" s="728"/>
      <c r="G81" s="720"/>
      <c r="H81" s="721"/>
    </row>
    <row r="82" spans="1:8" s="722" customFormat="1" ht="11.25">
      <c r="A82" s="769"/>
      <c r="B82" s="734" t="s">
        <v>269</v>
      </c>
      <c r="C82" s="733"/>
      <c r="D82" s="728"/>
      <c r="E82" s="728"/>
      <c r="F82" s="728"/>
      <c r="G82" s="720"/>
      <c r="H82" s="721"/>
    </row>
    <row r="83" spans="1:8" s="554" customFormat="1" ht="11.25">
      <c r="A83" s="725" t="s">
        <v>185</v>
      </c>
      <c r="B83" s="757" t="s">
        <v>223</v>
      </c>
      <c r="C83" s="727" t="s">
        <v>13</v>
      </c>
      <c r="D83" s="728">
        <v>20000</v>
      </c>
      <c r="E83" s="728">
        <v>20000</v>
      </c>
      <c r="F83" s="728">
        <v>20000</v>
      </c>
      <c r="G83" s="728">
        <v>0</v>
      </c>
      <c r="H83" s="728">
        <f>SUM(F83:G83)</f>
        <v>20000</v>
      </c>
    </row>
    <row r="84" spans="1:8" s="554" customFormat="1" ht="22.5">
      <c r="A84" s="725" t="s">
        <v>186</v>
      </c>
      <c r="B84" s="757" t="s">
        <v>392</v>
      </c>
      <c r="C84" s="727" t="s">
        <v>394</v>
      </c>
      <c r="D84" s="764">
        <v>18780</v>
      </c>
      <c r="E84" s="764">
        <v>20050</v>
      </c>
      <c r="F84" s="764">
        <v>20050</v>
      </c>
      <c r="G84" s="787"/>
      <c r="H84" s="728">
        <f aca="true" t="shared" si="2" ref="H84:H95">SUM(F84:G84)</f>
        <v>20050</v>
      </c>
    </row>
    <row r="85" spans="1:8" s="554" customFormat="1" ht="11.25">
      <c r="A85" s="725" t="s">
        <v>187</v>
      </c>
      <c r="B85" s="757" t="s">
        <v>521</v>
      </c>
      <c r="C85" s="727" t="s">
        <v>522</v>
      </c>
      <c r="D85" s="764">
        <v>0</v>
      </c>
      <c r="E85" s="764">
        <v>47891</v>
      </c>
      <c r="F85" s="764">
        <v>47891</v>
      </c>
      <c r="G85" s="728">
        <v>4493</v>
      </c>
      <c r="H85" s="728">
        <f t="shared" si="2"/>
        <v>52384</v>
      </c>
    </row>
    <row r="86" spans="1:8" s="554" customFormat="1" ht="11.25">
      <c r="A86" s="725" t="s">
        <v>188</v>
      </c>
      <c r="B86" s="770" t="s">
        <v>524</v>
      </c>
      <c r="C86" s="758" t="s">
        <v>525</v>
      </c>
      <c r="D86" s="764">
        <v>0</v>
      </c>
      <c r="E86" s="764">
        <v>30530</v>
      </c>
      <c r="F86" s="764">
        <v>30530</v>
      </c>
      <c r="G86" s="728">
        <v>0</v>
      </c>
      <c r="H86" s="728">
        <f t="shared" si="2"/>
        <v>30530</v>
      </c>
    </row>
    <row r="87" spans="1:8" s="554" customFormat="1" ht="11.25">
      <c r="A87" s="725" t="s">
        <v>189</v>
      </c>
      <c r="B87" s="770" t="s">
        <v>524</v>
      </c>
      <c r="C87" s="758" t="s">
        <v>526</v>
      </c>
      <c r="D87" s="764">
        <v>0</v>
      </c>
      <c r="E87" s="764">
        <v>416334</v>
      </c>
      <c r="F87" s="764">
        <v>381334</v>
      </c>
      <c r="G87" s="728">
        <v>0</v>
      </c>
      <c r="H87" s="728">
        <f t="shared" si="2"/>
        <v>381334</v>
      </c>
    </row>
    <row r="88" spans="1:8" s="554" customFormat="1" ht="11.25">
      <c r="A88" s="725" t="s">
        <v>190</v>
      </c>
      <c r="B88" s="770" t="s">
        <v>524</v>
      </c>
      <c r="C88" s="758" t="s">
        <v>527</v>
      </c>
      <c r="D88" s="764">
        <v>0</v>
      </c>
      <c r="E88" s="764">
        <v>20000</v>
      </c>
      <c r="F88" s="764">
        <v>53000</v>
      </c>
      <c r="G88" s="728">
        <v>0</v>
      </c>
      <c r="H88" s="728">
        <f t="shared" si="2"/>
        <v>53000</v>
      </c>
    </row>
    <row r="89" spans="1:8" s="554" customFormat="1" ht="33.75">
      <c r="A89" s="725" t="s">
        <v>191</v>
      </c>
      <c r="B89" s="735" t="s">
        <v>523</v>
      </c>
      <c r="C89" s="735" t="s">
        <v>560</v>
      </c>
      <c r="D89" s="764">
        <v>0</v>
      </c>
      <c r="E89" s="764">
        <v>3000</v>
      </c>
      <c r="F89" s="764">
        <v>3000</v>
      </c>
      <c r="G89" s="728">
        <v>0</v>
      </c>
      <c r="H89" s="728">
        <f t="shared" si="2"/>
        <v>3000</v>
      </c>
    </row>
    <row r="90" spans="1:8" s="554" customFormat="1" ht="11.25">
      <c r="A90" s="725" t="s">
        <v>324</v>
      </c>
      <c r="B90" s="735" t="s">
        <v>9</v>
      </c>
      <c r="C90" s="735" t="s">
        <v>577</v>
      </c>
      <c r="D90" s="764">
        <v>0</v>
      </c>
      <c r="E90" s="764">
        <v>0</v>
      </c>
      <c r="F90" s="764">
        <v>556</v>
      </c>
      <c r="G90" s="728">
        <v>0</v>
      </c>
      <c r="H90" s="728">
        <f t="shared" si="2"/>
        <v>556</v>
      </c>
    </row>
    <row r="91" spans="1:8" s="554" customFormat="1" ht="22.5" customHeight="1">
      <c r="A91" s="725" t="s">
        <v>325</v>
      </c>
      <c r="B91" s="735" t="s">
        <v>645</v>
      </c>
      <c r="C91" s="735" t="s">
        <v>646</v>
      </c>
      <c r="D91" s="764">
        <v>0</v>
      </c>
      <c r="E91" s="764">
        <v>0</v>
      </c>
      <c r="F91" s="764">
        <v>0</v>
      </c>
      <c r="G91" s="728">
        <v>10000</v>
      </c>
      <c r="H91" s="728">
        <f t="shared" si="2"/>
        <v>10000</v>
      </c>
    </row>
    <row r="92" spans="1:8" s="554" customFormat="1" ht="33.75">
      <c r="A92" s="725" t="s">
        <v>327</v>
      </c>
      <c r="B92" s="735" t="s">
        <v>524</v>
      </c>
      <c r="C92" s="735" t="s">
        <v>658</v>
      </c>
      <c r="D92" s="764">
        <v>0</v>
      </c>
      <c r="E92" s="764">
        <v>0</v>
      </c>
      <c r="F92" s="764">
        <v>0</v>
      </c>
      <c r="G92" s="728">
        <v>67749</v>
      </c>
      <c r="H92" s="728">
        <f t="shared" si="2"/>
        <v>67749</v>
      </c>
    </row>
    <row r="93" spans="1:8" s="554" customFormat="1" ht="33.75">
      <c r="A93" s="725" t="s">
        <v>331</v>
      </c>
      <c r="B93" s="788" t="s">
        <v>524</v>
      </c>
      <c r="C93" s="788" t="s">
        <v>655</v>
      </c>
      <c r="D93" s="789">
        <v>0</v>
      </c>
      <c r="E93" s="789">
        <v>0</v>
      </c>
      <c r="F93" s="789">
        <v>0</v>
      </c>
      <c r="G93" s="787">
        <v>11832</v>
      </c>
      <c r="H93" s="787">
        <f t="shared" si="2"/>
        <v>11832</v>
      </c>
    </row>
    <row r="94" spans="1:8" s="554" customFormat="1" ht="12.75" customHeight="1">
      <c r="A94" s="725"/>
      <c r="B94" s="721" t="s">
        <v>165</v>
      </c>
      <c r="C94" s="735"/>
      <c r="D94" s="720">
        <f>SUM(D83:D93)</f>
        <v>38780</v>
      </c>
      <c r="E94" s="720">
        <f>SUM(E83:E93)</f>
        <v>557805</v>
      </c>
      <c r="F94" s="720">
        <f>SUM(F83:F93)</f>
        <v>556361</v>
      </c>
      <c r="G94" s="720">
        <f>SUM(G83:G93)</f>
        <v>94074</v>
      </c>
      <c r="H94" s="720">
        <f t="shared" si="2"/>
        <v>650435</v>
      </c>
    </row>
    <row r="95" spans="1:8" s="722" customFormat="1" ht="12.75" customHeight="1">
      <c r="A95" s="718"/>
      <c r="B95" s="859" t="s">
        <v>395</v>
      </c>
      <c r="C95" s="859"/>
      <c r="D95" s="771">
        <f>SUM(D94)</f>
        <v>38780</v>
      </c>
      <c r="E95" s="771">
        <f>SUM(E94)</f>
        <v>557805</v>
      </c>
      <c r="F95" s="771">
        <f>SUM(F94)</f>
        <v>556361</v>
      </c>
      <c r="G95" s="771">
        <f>SUM(G94)</f>
        <v>94074</v>
      </c>
      <c r="H95" s="720">
        <f t="shared" si="2"/>
        <v>650435</v>
      </c>
    </row>
  </sheetData>
  <sheetProtection/>
  <mergeCells count="12">
    <mergeCell ref="B67:C67"/>
    <mergeCell ref="B80:C80"/>
    <mergeCell ref="A36:A37"/>
    <mergeCell ref="A1:H1"/>
    <mergeCell ref="A2:H2"/>
    <mergeCell ref="B95:C95"/>
    <mergeCell ref="B6:C6"/>
    <mergeCell ref="B65:C65"/>
    <mergeCell ref="B25:C25"/>
    <mergeCell ref="B27:C27"/>
    <mergeCell ref="B63:C63"/>
    <mergeCell ref="B81:C8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CE,Normál"2/b.számú melléklet</oddHeader>
    <oddFooter>&amp;L&amp;"Times New Roman CE,Normál"&amp;8&amp;F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6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.7109375" style="102" customWidth="1"/>
    <col min="2" max="2" width="19.7109375" style="102" customWidth="1"/>
    <col min="3" max="3" width="31.7109375" style="102" customWidth="1"/>
    <col min="4" max="4" width="7.7109375" style="198" customWidth="1"/>
    <col min="5" max="6" width="10.421875" style="198" customWidth="1"/>
    <col min="7" max="7" width="7.421875" style="198" customWidth="1"/>
    <col min="8" max="8" width="11.140625" style="102" customWidth="1"/>
    <col min="9" max="16384" width="9.140625" style="102" customWidth="1"/>
  </cols>
  <sheetData>
    <row r="2" spans="1:8" ht="15" customHeight="1">
      <c r="A2" s="858" t="s">
        <v>285</v>
      </c>
      <c r="B2" s="858"/>
      <c r="C2" s="858"/>
      <c r="D2" s="858"/>
      <c r="E2" s="858"/>
      <c r="F2" s="858"/>
      <c r="G2" s="858"/>
      <c r="H2" s="858"/>
    </row>
    <row r="3" spans="1:8" ht="15" customHeight="1">
      <c r="A3" s="858" t="s">
        <v>318</v>
      </c>
      <c r="B3" s="858"/>
      <c r="C3" s="858"/>
      <c r="D3" s="858"/>
      <c r="E3" s="858"/>
      <c r="F3" s="858"/>
      <c r="G3" s="858"/>
      <c r="H3" s="858"/>
    </row>
    <row r="4" spans="1:8" ht="15" customHeight="1">
      <c r="A4" s="188"/>
      <c r="B4" s="188"/>
      <c r="C4" s="188"/>
      <c r="D4" s="188"/>
      <c r="E4" s="188"/>
      <c r="F4" s="188"/>
      <c r="G4" s="661"/>
      <c r="H4" s="188"/>
    </row>
    <row r="5" spans="4:8" s="554" customFormat="1" ht="12">
      <c r="D5" s="570"/>
      <c r="E5" s="570"/>
      <c r="F5" s="570"/>
      <c r="G5" s="270"/>
      <c r="H5" s="658" t="s">
        <v>377</v>
      </c>
    </row>
    <row r="6" spans="1:8" s="554" customFormat="1" ht="39.75" customHeight="1">
      <c r="A6" s="520" t="s">
        <v>215</v>
      </c>
      <c r="B6" s="772" t="s">
        <v>476</v>
      </c>
      <c r="C6" s="715" t="s">
        <v>127</v>
      </c>
      <c r="D6" s="713" t="s">
        <v>297</v>
      </c>
      <c r="E6" s="712" t="s">
        <v>570</v>
      </c>
      <c r="F6" s="712" t="s">
        <v>636</v>
      </c>
      <c r="G6" s="520" t="s">
        <v>572</v>
      </c>
      <c r="H6" s="712" t="s">
        <v>716</v>
      </c>
    </row>
    <row r="7" spans="1:8" s="559" customFormat="1" ht="9.75" customHeight="1">
      <c r="A7" s="560" t="s">
        <v>208</v>
      </c>
      <c r="B7" s="703" t="s">
        <v>209</v>
      </c>
      <c r="C7" s="556" t="s">
        <v>210</v>
      </c>
      <c r="D7" s="705" t="s">
        <v>182</v>
      </c>
      <c r="E7" s="705" t="s">
        <v>183</v>
      </c>
      <c r="F7" s="705" t="s">
        <v>184</v>
      </c>
      <c r="G7" s="705" t="s">
        <v>185</v>
      </c>
      <c r="H7" s="705" t="s">
        <v>186</v>
      </c>
    </row>
    <row r="8" spans="1:8" s="559" customFormat="1" ht="15" customHeight="1">
      <c r="A8" s="574" t="s">
        <v>80</v>
      </c>
      <c r="B8" s="575" t="s">
        <v>127</v>
      </c>
      <c r="C8" s="556"/>
      <c r="D8" s="521"/>
      <c r="E8" s="521"/>
      <c r="F8" s="521"/>
      <c r="G8" s="527"/>
      <c r="H8" s="571"/>
    </row>
    <row r="9" spans="1:8" s="559" customFormat="1" ht="12.75" customHeight="1">
      <c r="A9" s="562"/>
      <c r="B9" s="575" t="s">
        <v>269</v>
      </c>
      <c r="C9" s="556"/>
      <c r="D9" s="521"/>
      <c r="E9" s="521"/>
      <c r="F9" s="521"/>
      <c r="G9" s="527"/>
      <c r="H9" s="571"/>
    </row>
    <row r="10" spans="1:8" s="565" customFormat="1" ht="12.75" customHeight="1">
      <c r="A10" s="562" t="s">
        <v>208</v>
      </c>
      <c r="B10" s="576" t="s">
        <v>364</v>
      </c>
      <c r="C10" s="563"/>
      <c r="D10" s="527"/>
      <c r="E10" s="527"/>
      <c r="F10" s="527"/>
      <c r="G10" s="524"/>
      <c r="H10" s="564"/>
    </row>
    <row r="11" spans="1:8" s="559" customFormat="1" ht="24">
      <c r="A11" s="566"/>
      <c r="B11" s="577"/>
      <c r="C11" s="567" t="s">
        <v>589</v>
      </c>
      <c r="D11" s="527">
        <v>22000</v>
      </c>
      <c r="E11" s="527">
        <v>22000</v>
      </c>
      <c r="F11" s="527">
        <v>22000</v>
      </c>
      <c r="G11" s="527">
        <v>0</v>
      </c>
      <c r="H11" s="527">
        <f>SUM(F11:G11)</f>
        <v>22000</v>
      </c>
    </row>
    <row r="12" spans="1:8" s="559" customFormat="1" ht="24">
      <c r="A12" s="566"/>
      <c r="B12" s="577"/>
      <c r="C12" s="567" t="s">
        <v>590</v>
      </c>
      <c r="D12" s="527">
        <v>0</v>
      </c>
      <c r="E12" s="527">
        <v>0</v>
      </c>
      <c r="F12" s="527">
        <v>5000</v>
      </c>
      <c r="G12" s="527">
        <v>0</v>
      </c>
      <c r="H12" s="527">
        <f aca="true" t="shared" si="0" ref="H12:H47">SUM(F12:G12)</f>
        <v>5000</v>
      </c>
    </row>
    <row r="13" spans="1:8" s="559" customFormat="1" ht="24">
      <c r="A13" s="566"/>
      <c r="B13" s="577"/>
      <c r="C13" s="567" t="s">
        <v>591</v>
      </c>
      <c r="D13" s="527">
        <v>0</v>
      </c>
      <c r="E13" s="527">
        <v>0</v>
      </c>
      <c r="F13" s="527">
        <v>29000</v>
      </c>
      <c r="G13" s="527">
        <v>0</v>
      </c>
      <c r="H13" s="527">
        <f t="shared" si="0"/>
        <v>29000</v>
      </c>
    </row>
    <row r="14" spans="1:8" s="559" customFormat="1" ht="24">
      <c r="A14" s="566"/>
      <c r="B14" s="577"/>
      <c r="C14" s="567" t="s">
        <v>592</v>
      </c>
      <c r="D14" s="527">
        <v>0</v>
      </c>
      <c r="E14" s="527">
        <v>0</v>
      </c>
      <c r="F14" s="527">
        <v>1000</v>
      </c>
      <c r="G14" s="527">
        <v>0</v>
      </c>
      <c r="H14" s="527">
        <f t="shared" si="0"/>
        <v>1000</v>
      </c>
    </row>
    <row r="15" spans="1:8" s="559" customFormat="1" ht="12">
      <c r="A15" s="566"/>
      <c r="B15" s="577"/>
      <c r="C15" s="567" t="s">
        <v>298</v>
      </c>
      <c r="D15" s="527">
        <v>78000</v>
      </c>
      <c r="E15" s="527">
        <v>78000</v>
      </c>
      <c r="F15" s="527">
        <v>43000</v>
      </c>
      <c r="G15" s="527">
        <v>0</v>
      </c>
      <c r="H15" s="527">
        <f t="shared" si="0"/>
        <v>43000</v>
      </c>
    </row>
    <row r="16" spans="1:8" s="559" customFormat="1" ht="12">
      <c r="A16" s="566"/>
      <c r="B16" s="578"/>
      <c r="C16" s="572" t="s">
        <v>474</v>
      </c>
      <c r="D16" s="527">
        <v>6000</v>
      </c>
      <c r="E16" s="527">
        <v>6000</v>
      </c>
      <c r="F16" s="527">
        <v>6000</v>
      </c>
      <c r="G16" s="527">
        <v>0</v>
      </c>
      <c r="H16" s="527">
        <f t="shared" si="0"/>
        <v>6000</v>
      </c>
    </row>
    <row r="17" spans="1:8" s="559" customFormat="1" ht="12">
      <c r="A17" s="566"/>
      <c r="B17" s="577"/>
      <c r="C17" s="572" t="s">
        <v>226</v>
      </c>
      <c r="D17" s="527">
        <v>39000</v>
      </c>
      <c r="E17" s="527">
        <v>39000</v>
      </c>
      <c r="F17" s="527">
        <v>39000</v>
      </c>
      <c r="G17" s="527">
        <v>0</v>
      </c>
      <c r="H17" s="527">
        <f t="shared" si="0"/>
        <v>39000</v>
      </c>
    </row>
    <row r="18" spans="1:8" s="559" customFormat="1" ht="12">
      <c r="A18" s="566"/>
      <c r="B18" s="577"/>
      <c r="C18" s="572" t="s">
        <v>469</v>
      </c>
      <c r="D18" s="527">
        <v>56000</v>
      </c>
      <c r="E18" s="527">
        <v>56000</v>
      </c>
      <c r="F18" s="527">
        <v>56000</v>
      </c>
      <c r="G18" s="527">
        <v>0</v>
      </c>
      <c r="H18" s="527">
        <f t="shared" si="0"/>
        <v>56000</v>
      </c>
    </row>
    <row r="19" spans="1:8" s="559" customFormat="1" ht="12">
      <c r="A19" s="566"/>
      <c r="B19" s="577"/>
      <c r="C19" s="572" t="s">
        <v>87</v>
      </c>
      <c r="D19" s="527">
        <v>64000</v>
      </c>
      <c r="E19" s="527">
        <v>64000</v>
      </c>
      <c r="F19" s="527">
        <v>64000</v>
      </c>
      <c r="G19" s="527">
        <v>0</v>
      </c>
      <c r="H19" s="527">
        <f t="shared" si="0"/>
        <v>64000</v>
      </c>
    </row>
    <row r="20" spans="1:8" s="565" customFormat="1" ht="12">
      <c r="A20" s="566"/>
      <c r="B20" s="579"/>
      <c r="C20" s="572" t="s">
        <v>151</v>
      </c>
      <c r="D20" s="527">
        <v>30000</v>
      </c>
      <c r="E20" s="527">
        <v>30000</v>
      </c>
      <c r="F20" s="527">
        <v>30000</v>
      </c>
      <c r="G20" s="524">
        <v>0</v>
      </c>
      <c r="H20" s="527">
        <f t="shared" si="0"/>
        <v>30000</v>
      </c>
    </row>
    <row r="21" spans="1:8" s="565" customFormat="1" ht="24">
      <c r="A21" s="566"/>
      <c r="B21" s="579"/>
      <c r="C21" s="567" t="s">
        <v>457</v>
      </c>
      <c r="D21" s="527">
        <v>6000</v>
      </c>
      <c r="E21" s="527">
        <v>6000</v>
      </c>
      <c r="F21" s="527">
        <v>6000</v>
      </c>
      <c r="G21" s="524">
        <v>0</v>
      </c>
      <c r="H21" s="527">
        <f t="shared" si="0"/>
        <v>6000</v>
      </c>
    </row>
    <row r="22" spans="1:8" s="565" customFormat="1" ht="12">
      <c r="A22" s="562"/>
      <c r="B22" s="576" t="s">
        <v>354</v>
      </c>
      <c r="C22" s="569"/>
      <c r="D22" s="524">
        <f>SUM(D11:D21)</f>
        <v>301000</v>
      </c>
      <c r="E22" s="524">
        <f>SUM(E11:E21)</f>
        <v>301000</v>
      </c>
      <c r="F22" s="524">
        <f>SUM(F11:F21)</f>
        <v>301000</v>
      </c>
      <c r="G22" s="524">
        <f>SUM(G11:G21)</f>
        <v>0</v>
      </c>
      <c r="H22" s="524">
        <f t="shared" si="0"/>
        <v>301000</v>
      </c>
    </row>
    <row r="23" spans="1:8" s="559" customFormat="1" ht="12">
      <c r="A23" s="562" t="s">
        <v>209</v>
      </c>
      <c r="B23" s="580" t="s">
        <v>365</v>
      </c>
      <c r="C23" s="581"/>
      <c r="D23" s="527"/>
      <c r="E23" s="527"/>
      <c r="F23" s="527"/>
      <c r="G23" s="527"/>
      <c r="H23" s="527"/>
    </row>
    <row r="24" spans="1:8" s="559" customFormat="1" ht="12">
      <c r="A24" s="566"/>
      <c r="B24" s="582"/>
      <c r="C24" s="572" t="s">
        <v>299</v>
      </c>
      <c r="D24" s="583">
        <v>2000</v>
      </c>
      <c r="E24" s="583">
        <v>2000</v>
      </c>
      <c r="F24" s="583">
        <v>2000</v>
      </c>
      <c r="G24" s="527">
        <v>0</v>
      </c>
      <c r="H24" s="527">
        <f t="shared" si="0"/>
        <v>2000</v>
      </c>
    </row>
    <row r="25" spans="1:8" s="559" customFormat="1" ht="12">
      <c r="A25" s="566"/>
      <c r="B25" s="582"/>
      <c r="C25" s="572" t="s">
        <v>477</v>
      </c>
      <c r="D25" s="583">
        <v>35000</v>
      </c>
      <c r="E25" s="583">
        <v>35000</v>
      </c>
      <c r="F25" s="583">
        <v>35000</v>
      </c>
      <c r="G25" s="527">
        <v>0</v>
      </c>
      <c r="H25" s="527">
        <f t="shared" si="0"/>
        <v>35000</v>
      </c>
    </row>
    <row r="26" spans="1:8" s="559" customFormat="1" ht="12">
      <c r="A26" s="566"/>
      <c r="B26" s="582"/>
      <c r="C26" s="572" t="s">
        <v>279</v>
      </c>
      <c r="D26" s="583">
        <v>1381</v>
      </c>
      <c r="E26" s="583">
        <v>1381</v>
      </c>
      <c r="F26" s="583">
        <v>1381</v>
      </c>
      <c r="G26" s="527">
        <v>0</v>
      </c>
      <c r="H26" s="527">
        <f t="shared" si="0"/>
        <v>1381</v>
      </c>
    </row>
    <row r="27" spans="1:8" s="559" customFormat="1" ht="12">
      <c r="A27" s="566"/>
      <c r="B27" s="582"/>
      <c r="C27" s="572" t="s">
        <v>278</v>
      </c>
      <c r="D27" s="583">
        <v>18700</v>
      </c>
      <c r="E27" s="583">
        <v>18700</v>
      </c>
      <c r="F27" s="583">
        <v>28896</v>
      </c>
      <c r="G27" s="527">
        <v>0</v>
      </c>
      <c r="H27" s="527">
        <f t="shared" si="0"/>
        <v>28896</v>
      </c>
    </row>
    <row r="28" spans="1:8" s="565" customFormat="1" ht="12">
      <c r="A28" s="562"/>
      <c r="B28" s="580" t="s">
        <v>355</v>
      </c>
      <c r="C28" s="564"/>
      <c r="D28" s="524">
        <f>SUM(D24:D27)</f>
        <v>57081</v>
      </c>
      <c r="E28" s="524">
        <f>SUM(E24:E27)</f>
        <v>57081</v>
      </c>
      <c r="F28" s="524">
        <f>SUM(F24:F27)</f>
        <v>67277</v>
      </c>
      <c r="G28" s="524">
        <f>SUM(G24:G27)</f>
        <v>0</v>
      </c>
      <c r="H28" s="524">
        <f t="shared" si="0"/>
        <v>67277</v>
      </c>
    </row>
    <row r="29" spans="1:8" s="565" customFormat="1" ht="12">
      <c r="A29" s="562" t="s">
        <v>210</v>
      </c>
      <c r="B29" s="580" t="s">
        <v>366</v>
      </c>
      <c r="C29" s="564"/>
      <c r="D29" s="527"/>
      <c r="E29" s="527"/>
      <c r="F29" s="527"/>
      <c r="G29" s="524"/>
      <c r="H29" s="527"/>
    </row>
    <row r="30" spans="1:8" s="559" customFormat="1" ht="12">
      <c r="A30" s="566"/>
      <c r="B30" s="582"/>
      <c r="C30" s="572" t="s">
        <v>123</v>
      </c>
      <c r="D30" s="527">
        <v>1000</v>
      </c>
      <c r="E30" s="527">
        <v>1000</v>
      </c>
      <c r="F30" s="527">
        <v>1000</v>
      </c>
      <c r="G30" s="527">
        <v>0</v>
      </c>
      <c r="H30" s="527">
        <f t="shared" si="0"/>
        <v>1000</v>
      </c>
    </row>
    <row r="31" spans="1:8" s="559" customFormat="1" ht="12">
      <c r="A31" s="566"/>
      <c r="B31" s="582"/>
      <c r="C31" s="572" t="s">
        <v>194</v>
      </c>
      <c r="D31" s="527"/>
      <c r="E31" s="527"/>
      <c r="F31" s="527"/>
      <c r="G31" s="527"/>
      <c r="H31" s="527"/>
    </row>
    <row r="32" spans="1:8" s="559" customFormat="1" ht="12">
      <c r="A32" s="566"/>
      <c r="B32" s="582"/>
      <c r="C32" s="581" t="s">
        <v>89</v>
      </c>
      <c r="D32" s="527">
        <v>6000</v>
      </c>
      <c r="E32" s="527">
        <v>6000</v>
      </c>
      <c r="F32" s="527">
        <v>6000</v>
      </c>
      <c r="G32" s="527">
        <v>0</v>
      </c>
      <c r="H32" s="527">
        <f t="shared" si="0"/>
        <v>6000</v>
      </c>
    </row>
    <row r="33" spans="1:8" s="559" customFormat="1" ht="12">
      <c r="A33" s="566"/>
      <c r="B33" s="582"/>
      <c r="C33" s="584" t="s">
        <v>430</v>
      </c>
      <c r="D33" s="527">
        <v>40000</v>
      </c>
      <c r="E33" s="527">
        <v>40000</v>
      </c>
      <c r="F33" s="527">
        <v>40000</v>
      </c>
      <c r="G33" s="527">
        <v>0</v>
      </c>
      <c r="H33" s="527">
        <f t="shared" si="0"/>
        <v>40000</v>
      </c>
    </row>
    <row r="34" spans="1:8" s="565" customFormat="1" ht="12">
      <c r="A34" s="566"/>
      <c r="B34" s="582"/>
      <c r="C34" s="584" t="s">
        <v>177</v>
      </c>
      <c r="D34" s="527">
        <v>56900</v>
      </c>
      <c r="E34" s="527">
        <v>57841</v>
      </c>
      <c r="F34" s="527">
        <v>58268</v>
      </c>
      <c r="G34" s="527">
        <v>826</v>
      </c>
      <c r="H34" s="527">
        <f t="shared" si="0"/>
        <v>59094</v>
      </c>
    </row>
    <row r="35" spans="1:8" s="565" customFormat="1" ht="12">
      <c r="A35" s="566"/>
      <c r="B35" s="582"/>
      <c r="C35" s="584" t="s">
        <v>219</v>
      </c>
      <c r="D35" s="527">
        <v>12000</v>
      </c>
      <c r="E35" s="527">
        <v>12000</v>
      </c>
      <c r="F35" s="527">
        <v>12000</v>
      </c>
      <c r="G35" s="527">
        <v>0</v>
      </c>
      <c r="H35" s="527">
        <f t="shared" si="0"/>
        <v>12000</v>
      </c>
    </row>
    <row r="36" spans="1:8" s="565" customFormat="1" ht="12">
      <c r="A36" s="562"/>
      <c r="B36" s="580"/>
      <c r="C36" s="571" t="s">
        <v>383</v>
      </c>
      <c r="D36" s="527">
        <v>2000</v>
      </c>
      <c r="E36" s="527">
        <v>2000</v>
      </c>
      <c r="F36" s="527">
        <v>2000</v>
      </c>
      <c r="G36" s="527">
        <v>0</v>
      </c>
      <c r="H36" s="527">
        <f t="shared" si="0"/>
        <v>2000</v>
      </c>
    </row>
    <row r="37" spans="1:8" s="565" customFormat="1" ht="12">
      <c r="A37" s="562"/>
      <c r="B37" s="580"/>
      <c r="C37" s="571" t="s">
        <v>0</v>
      </c>
      <c r="D37" s="527">
        <v>25000</v>
      </c>
      <c r="E37" s="527">
        <v>25000</v>
      </c>
      <c r="F37" s="527">
        <v>25000</v>
      </c>
      <c r="G37" s="527">
        <v>0</v>
      </c>
      <c r="H37" s="527">
        <f t="shared" si="0"/>
        <v>25000</v>
      </c>
    </row>
    <row r="38" spans="1:8" s="565" customFormat="1" ht="12">
      <c r="A38" s="562"/>
      <c r="B38" s="580"/>
      <c r="C38" s="527" t="s">
        <v>529</v>
      </c>
      <c r="D38" s="527">
        <v>0</v>
      </c>
      <c r="E38" s="527">
        <v>1502</v>
      </c>
      <c r="F38" s="527">
        <v>2272</v>
      </c>
      <c r="G38" s="527">
        <v>0</v>
      </c>
      <c r="H38" s="527">
        <f t="shared" si="0"/>
        <v>2272</v>
      </c>
    </row>
    <row r="39" spans="1:8" s="565" customFormat="1" ht="12">
      <c r="A39" s="562"/>
      <c r="B39" s="580" t="s">
        <v>356</v>
      </c>
      <c r="C39" s="585"/>
      <c r="D39" s="524">
        <f>SUM(D30:D38)</f>
        <v>142900</v>
      </c>
      <c r="E39" s="524">
        <f>SUM(E30:E38)</f>
        <v>145343</v>
      </c>
      <c r="F39" s="524">
        <f>SUM(F30:F38)</f>
        <v>146540</v>
      </c>
      <c r="G39" s="524">
        <f>SUM(G30:G38)</f>
        <v>826</v>
      </c>
      <c r="H39" s="524">
        <f t="shared" si="0"/>
        <v>147366</v>
      </c>
    </row>
    <row r="40" spans="1:8" s="565" customFormat="1" ht="12">
      <c r="A40" s="562" t="s">
        <v>182</v>
      </c>
      <c r="B40" s="580" t="s">
        <v>39</v>
      </c>
      <c r="C40" s="585"/>
      <c r="D40" s="527"/>
      <c r="E40" s="527"/>
      <c r="F40" s="527"/>
      <c r="G40" s="524"/>
      <c r="H40" s="527"/>
    </row>
    <row r="41" spans="1:8" s="565" customFormat="1" ht="12">
      <c r="A41" s="562"/>
      <c r="B41" s="580"/>
      <c r="C41" s="571" t="s">
        <v>88</v>
      </c>
      <c r="D41" s="527">
        <v>68996</v>
      </c>
      <c r="E41" s="527">
        <v>68996</v>
      </c>
      <c r="F41" s="527">
        <v>74694</v>
      </c>
      <c r="G41" s="527">
        <v>0</v>
      </c>
      <c r="H41" s="527">
        <f t="shared" si="0"/>
        <v>74694</v>
      </c>
    </row>
    <row r="42" spans="1:8" s="565" customFormat="1" ht="12">
      <c r="A42" s="562"/>
      <c r="B42" s="580"/>
      <c r="C42" s="571" t="s">
        <v>179</v>
      </c>
      <c r="D42" s="527">
        <v>3000</v>
      </c>
      <c r="E42" s="527">
        <v>3000</v>
      </c>
      <c r="F42" s="527">
        <v>3000</v>
      </c>
      <c r="G42" s="527">
        <v>0</v>
      </c>
      <c r="H42" s="527">
        <f t="shared" si="0"/>
        <v>3000</v>
      </c>
    </row>
    <row r="43" spans="1:8" s="565" customFormat="1" ht="12">
      <c r="A43" s="562"/>
      <c r="B43" s="580" t="s">
        <v>29</v>
      </c>
      <c r="C43" s="585"/>
      <c r="D43" s="524">
        <f>SUM(D41:D42)</f>
        <v>71996</v>
      </c>
      <c r="E43" s="524">
        <f>SUM(E41:E42)</f>
        <v>71996</v>
      </c>
      <c r="F43" s="524">
        <f>SUM(F41:F42)</f>
        <v>77694</v>
      </c>
      <c r="G43" s="524">
        <f>SUM(G41:G42)</f>
        <v>0</v>
      </c>
      <c r="H43" s="524">
        <f t="shared" si="0"/>
        <v>77694</v>
      </c>
    </row>
    <row r="44" spans="1:8" s="565" customFormat="1" ht="12">
      <c r="A44" s="562" t="s">
        <v>183</v>
      </c>
      <c r="B44" s="564" t="s">
        <v>473</v>
      </c>
      <c r="C44" s="564"/>
      <c r="D44" s="524"/>
      <c r="E44" s="524"/>
      <c r="F44" s="524"/>
      <c r="G44" s="524"/>
      <c r="H44" s="527"/>
    </row>
    <row r="45" spans="1:8" s="565" customFormat="1" ht="12">
      <c r="A45" s="562"/>
      <c r="B45" s="571" t="s">
        <v>170</v>
      </c>
      <c r="C45" s="571" t="s">
        <v>351</v>
      </c>
      <c r="D45" s="527">
        <v>330</v>
      </c>
      <c r="E45" s="527">
        <v>330</v>
      </c>
      <c r="F45" s="527">
        <v>330</v>
      </c>
      <c r="G45" s="524">
        <v>0</v>
      </c>
      <c r="H45" s="527">
        <f t="shared" si="0"/>
        <v>330</v>
      </c>
    </row>
    <row r="46" spans="1:8" s="565" customFormat="1" ht="12">
      <c r="A46" s="562"/>
      <c r="B46" s="580" t="s">
        <v>459</v>
      </c>
      <c r="C46" s="585"/>
      <c r="D46" s="524">
        <f>SUM(D45)</f>
        <v>330</v>
      </c>
      <c r="E46" s="524">
        <f>SUM(E45)</f>
        <v>330</v>
      </c>
      <c r="F46" s="524">
        <f>SUM(F45)</f>
        <v>330</v>
      </c>
      <c r="G46" s="524">
        <f>SUM(G45)</f>
        <v>0</v>
      </c>
      <c r="H46" s="524">
        <f t="shared" si="0"/>
        <v>330</v>
      </c>
    </row>
    <row r="47" spans="1:8" s="565" customFormat="1" ht="12">
      <c r="A47" s="562"/>
      <c r="B47" s="564" t="s">
        <v>357</v>
      </c>
      <c r="C47" s="586"/>
      <c r="D47" s="573">
        <f>SUM(D22,D28,D39,D43,D46)</f>
        <v>573307</v>
      </c>
      <c r="E47" s="573">
        <f>SUM(E22,E28,E39,E43,E46)</f>
        <v>575750</v>
      </c>
      <c r="F47" s="573">
        <f>SUM(F22,F28,F39,F43,F46)</f>
        <v>592841</v>
      </c>
      <c r="G47" s="573">
        <f>SUM(G22,G28,G39,G43,G46)</f>
        <v>826</v>
      </c>
      <c r="H47" s="524">
        <f t="shared" si="0"/>
        <v>593667</v>
      </c>
    </row>
    <row r="48" spans="1:8" s="565" customFormat="1" ht="12">
      <c r="A48" s="662"/>
      <c r="B48" s="587"/>
      <c r="C48" s="663"/>
      <c r="D48" s="664"/>
      <c r="E48" s="664"/>
      <c r="F48" s="664"/>
      <c r="G48" s="664"/>
      <c r="H48" s="665"/>
    </row>
    <row r="49" spans="1:8" s="565" customFormat="1" ht="12">
      <c r="A49" s="662"/>
      <c r="B49" s="587"/>
      <c r="C49" s="663"/>
      <c r="D49" s="664"/>
      <c r="E49" s="664"/>
      <c r="F49" s="664"/>
      <c r="G49" s="664"/>
      <c r="H49" s="665"/>
    </row>
    <row r="50" spans="1:8" s="565" customFormat="1" ht="12">
      <c r="A50" s="662"/>
      <c r="B50" s="587"/>
      <c r="C50" s="663"/>
      <c r="D50" s="664"/>
      <c r="E50" s="664"/>
      <c r="F50" s="664"/>
      <c r="G50" s="664"/>
      <c r="H50" s="665"/>
    </row>
    <row r="51" spans="1:8" s="565" customFormat="1" ht="12">
      <c r="A51" s="662"/>
      <c r="B51" s="587"/>
      <c r="C51" s="663"/>
      <c r="D51" s="664"/>
      <c r="E51" s="664"/>
      <c r="F51" s="664"/>
      <c r="G51" s="664"/>
      <c r="H51" s="665"/>
    </row>
    <row r="52" spans="1:8" s="565" customFormat="1" ht="12">
      <c r="A52" s="662"/>
      <c r="B52" s="587"/>
      <c r="C52" s="663"/>
      <c r="D52" s="664"/>
      <c r="E52" s="664"/>
      <c r="F52" s="664"/>
      <c r="G52" s="664"/>
      <c r="H52" s="665"/>
    </row>
    <row r="53" spans="1:8" s="559" customFormat="1" ht="24">
      <c r="A53" s="562" t="s">
        <v>329</v>
      </c>
      <c r="B53" s="568" t="s">
        <v>384</v>
      </c>
      <c r="C53" s="571"/>
      <c r="D53" s="527"/>
      <c r="E53" s="527"/>
      <c r="F53" s="527"/>
      <c r="G53" s="527"/>
      <c r="H53" s="571"/>
    </row>
    <row r="54" spans="1:10" s="559" customFormat="1" ht="12">
      <c r="A54" s="562" t="s">
        <v>208</v>
      </c>
      <c r="B54" s="564" t="s">
        <v>366</v>
      </c>
      <c r="C54" s="571"/>
      <c r="D54" s="527"/>
      <c r="E54" s="527"/>
      <c r="F54" s="527"/>
      <c r="G54" s="527"/>
      <c r="H54" s="571"/>
      <c r="I54" s="588"/>
      <c r="J54" s="588"/>
    </row>
    <row r="55" spans="1:10" s="559" customFormat="1" ht="12">
      <c r="A55" s="571"/>
      <c r="B55" s="571"/>
      <c r="C55" s="589" t="s">
        <v>98</v>
      </c>
      <c r="D55" s="590">
        <v>6565</v>
      </c>
      <c r="E55" s="590">
        <v>6565</v>
      </c>
      <c r="F55" s="590">
        <v>6565</v>
      </c>
      <c r="G55" s="197">
        <v>0</v>
      </c>
      <c r="H55" s="197">
        <f>SUM(F55:G55)</f>
        <v>6565</v>
      </c>
      <c r="I55" s="588"/>
      <c r="J55" s="588"/>
    </row>
    <row r="56" spans="1:10" s="565" customFormat="1" ht="12">
      <c r="A56" s="564"/>
      <c r="B56" s="564" t="s">
        <v>356</v>
      </c>
      <c r="C56" s="591"/>
      <c r="D56" s="592">
        <f>SUM(D55)</f>
        <v>6565</v>
      </c>
      <c r="E56" s="592">
        <f>SUM(E55)</f>
        <v>6565</v>
      </c>
      <c r="F56" s="592">
        <f>SUM(F55)</f>
        <v>6565</v>
      </c>
      <c r="G56" s="592">
        <f>SUM(G55)</f>
        <v>0</v>
      </c>
      <c r="H56" s="777">
        <f aca="true" t="shared" si="1" ref="H56:H63">SUM(F56:G56)</f>
        <v>6565</v>
      </c>
      <c r="I56" s="587"/>
      <c r="J56" s="587"/>
    </row>
    <row r="57" spans="1:10" s="559" customFormat="1" ht="12">
      <c r="A57" s="562" t="s">
        <v>209</v>
      </c>
      <c r="B57" s="564" t="s">
        <v>39</v>
      </c>
      <c r="C57" s="589"/>
      <c r="D57" s="590"/>
      <c r="E57" s="590"/>
      <c r="F57" s="590"/>
      <c r="G57" s="197"/>
      <c r="H57" s="197"/>
      <c r="I57" s="588"/>
      <c r="J57" s="588"/>
    </row>
    <row r="58" spans="1:8" s="559" customFormat="1" ht="12">
      <c r="A58" s="571"/>
      <c r="B58" s="571"/>
      <c r="C58" s="589" t="s">
        <v>475</v>
      </c>
      <c r="D58" s="527">
        <v>26400</v>
      </c>
      <c r="E58" s="527">
        <v>26400</v>
      </c>
      <c r="F58" s="527">
        <v>26400</v>
      </c>
      <c r="G58" s="527">
        <v>0</v>
      </c>
      <c r="H58" s="197">
        <f t="shared" si="1"/>
        <v>26400</v>
      </c>
    </row>
    <row r="59" spans="1:8" s="565" customFormat="1" ht="12">
      <c r="A59" s="564"/>
      <c r="B59" s="564" t="s">
        <v>358</v>
      </c>
      <c r="C59" s="564"/>
      <c r="D59" s="524">
        <f>SUM(D58)</f>
        <v>26400</v>
      </c>
      <c r="E59" s="524">
        <f>SUM(E58)</f>
        <v>26400</v>
      </c>
      <c r="F59" s="524">
        <f>SUM(F58)</f>
        <v>26400</v>
      </c>
      <c r="G59" s="524">
        <f>SUM(G58)</f>
        <v>0</v>
      </c>
      <c r="H59" s="777">
        <f t="shared" si="1"/>
        <v>26400</v>
      </c>
    </row>
    <row r="60" spans="1:8" s="559" customFormat="1" ht="12">
      <c r="A60" s="571"/>
      <c r="B60" s="564" t="s">
        <v>473</v>
      </c>
      <c r="C60" s="571"/>
      <c r="D60" s="527"/>
      <c r="E60" s="527"/>
      <c r="F60" s="527"/>
      <c r="G60" s="527"/>
      <c r="H60" s="197"/>
    </row>
    <row r="61" spans="1:8" s="559" customFormat="1" ht="12">
      <c r="A61" s="571"/>
      <c r="B61" s="571" t="s">
        <v>170</v>
      </c>
      <c r="C61" s="589" t="s">
        <v>475</v>
      </c>
      <c r="D61" s="527">
        <v>0</v>
      </c>
      <c r="E61" s="527">
        <v>220</v>
      </c>
      <c r="F61" s="527">
        <v>580</v>
      </c>
      <c r="G61" s="527">
        <v>0</v>
      </c>
      <c r="H61" s="197">
        <f t="shared" si="1"/>
        <v>580</v>
      </c>
    </row>
    <row r="62" spans="1:8" s="565" customFormat="1" ht="12">
      <c r="A62" s="564"/>
      <c r="B62" s="564" t="s">
        <v>459</v>
      </c>
      <c r="C62" s="564"/>
      <c r="D62" s="524">
        <f>SUM(D61)</f>
        <v>0</v>
      </c>
      <c r="E62" s="524">
        <f>SUM(E61)</f>
        <v>220</v>
      </c>
      <c r="F62" s="524">
        <f>SUM(F61)</f>
        <v>580</v>
      </c>
      <c r="G62" s="524">
        <f>SUM(G61)</f>
        <v>0</v>
      </c>
      <c r="H62" s="777">
        <f t="shared" si="1"/>
        <v>580</v>
      </c>
    </row>
    <row r="63" spans="1:8" s="565" customFormat="1" ht="12">
      <c r="A63" s="564"/>
      <c r="B63" s="564" t="s">
        <v>561</v>
      </c>
      <c r="C63" s="564"/>
      <c r="D63" s="524">
        <f>SUM(D56,D59,D62)</f>
        <v>32965</v>
      </c>
      <c r="E63" s="524">
        <f>SUM(E56,E59,E62)</f>
        <v>33185</v>
      </c>
      <c r="F63" s="524">
        <f>SUM(F56,F59,F62)</f>
        <v>33545</v>
      </c>
      <c r="G63" s="524">
        <f>SUM(G56,G59,G62)</f>
        <v>0</v>
      </c>
      <c r="H63" s="777">
        <f t="shared" si="1"/>
        <v>33545</v>
      </c>
    </row>
    <row r="64" spans="4:7" s="559" customFormat="1" ht="12">
      <c r="D64" s="519"/>
      <c r="E64" s="519"/>
      <c r="F64" s="519"/>
      <c r="G64" s="519"/>
    </row>
    <row r="65" spans="4:7" s="559" customFormat="1" ht="12">
      <c r="D65" s="519"/>
      <c r="E65" s="519"/>
      <c r="F65" s="519"/>
      <c r="G65" s="519"/>
    </row>
  </sheetData>
  <sheetProtection/>
  <mergeCells count="2">
    <mergeCell ref="A2:H2"/>
    <mergeCell ref="A3:H3"/>
  </mergeCells>
  <printOptions horizontalCentered="1"/>
  <pageMargins left="0.1968503937007874" right="0.1968503937007874" top="0.7874015748031497" bottom="0.984251968503937" header="0.5118110236220472" footer="0.5118110236220472"/>
  <pageSetup horizontalDpi="300" verticalDpi="300" orientation="portrait" paperSize="9" r:id="rId1"/>
  <headerFooter alignWithMargins="0">
    <oddHeader>&amp;C&amp;"Times New Roman,Normál"&amp;P&amp;R&amp;"Times New Roman CE,Normál"2/c.számú melléklet</oddHeader>
    <oddFooter>&amp;L&amp;"Times New Roman CE,Normál"&amp;8&amp;F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/>
  <dimension ref="A1:G50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4.00390625" style="4" customWidth="1"/>
    <col min="2" max="2" width="37.8515625" style="6" customWidth="1"/>
    <col min="3" max="3" width="9.8515625" style="6" customWidth="1"/>
    <col min="4" max="4" width="13.140625" style="6" customWidth="1"/>
    <col min="5" max="5" width="12.140625" style="6" customWidth="1"/>
    <col min="6" max="6" width="9.7109375" style="5" customWidth="1"/>
    <col min="7" max="7" width="11.8515625" style="5" customWidth="1"/>
    <col min="8" max="16384" width="8.8515625" style="1" customWidth="1"/>
  </cols>
  <sheetData>
    <row r="1" spans="1:7" ht="18" customHeight="1">
      <c r="A1" s="850" t="s">
        <v>285</v>
      </c>
      <c r="B1" s="851"/>
      <c r="C1" s="851"/>
      <c r="D1" s="851"/>
      <c r="E1" s="851"/>
      <c r="F1" s="851"/>
      <c r="G1" s="851"/>
    </row>
    <row r="2" spans="1:7" ht="18" customHeight="1">
      <c r="A2" s="852" t="s">
        <v>484</v>
      </c>
      <c r="B2" s="853"/>
      <c r="C2" s="853"/>
      <c r="D2" s="853"/>
      <c r="E2" s="853"/>
      <c r="F2" s="853"/>
      <c r="G2" s="853"/>
    </row>
    <row r="3" spans="1:7" ht="18" customHeight="1">
      <c r="A3" s="854" t="s">
        <v>266</v>
      </c>
      <c r="B3" s="854"/>
      <c r="C3" s="854"/>
      <c r="D3" s="854"/>
      <c r="E3" s="854"/>
      <c r="F3" s="854"/>
      <c r="G3" s="854"/>
    </row>
    <row r="4" spans="1:7" ht="18" customHeight="1">
      <c r="A4" s="855" t="s">
        <v>135</v>
      </c>
      <c r="B4" s="853"/>
      <c r="C4" s="853"/>
      <c r="D4" s="853"/>
      <c r="E4" s="853"/>
      <c r="F4" s="853"/>
      <c r="G4" s="853"/>
    </row>
    <row r="5" spans="1:7" s="699" customFormat="1" ht="15.75" customHeight="1">
      <c r="A5" s="695"/>
      <c r="B5" s="696"/>
      <c r="C5" s="696"/>
      <c r="D5" s="696"/>
      <c r="E5" s="696"/>
      <c r="F5" s="697"/>
      <c r="G5" s="698" t="s">
        <v>377</v>
      </c>
    </row>
    <row r="6" spans="1:7" s="701" customFormat="1" ht="39.75" customHeight="1">
      <c r="A6" s="700" t="s">
        <v>215</v>
      </c>
      <c r="B6" s="691" t="s">
        <v>378</v>
      </c>
      <c r="C6" s="557" t="s">
        <v>297</v>
      </c>
      <c r="D6" s="558" t="s">
        <v>570</v>
      </c>
      <c r="E6" s="558" t="s">
        <v>636</v>
      </c>
      <c r="F6" s="555" t="s">
        <v>572</v>
      </c>
      <c r="G6" s="558" t="s">
        <v>716</v>
      </c>
    </row>
    <row r="7" spans="1:7" s="701" customFormat="1" ht="12" customHeight="1">
      <c r="A7" s="691" t="s">
        <v>208</v>
      </c>
      <c r="B7" s="702" t="s">
        <v>209</v>
      </c>
      <c r="C7" s="702" t="s">
        <v>210</v>
      </c>
      <c r="D7" s="702" t="s">
        <v>182</v>
      </c>
      <c r="E7" s="702" t="s">
        <v>183</v>
      </c>
      <c r="F7" s="702" t="s">
        <v>184</v>
      </c>
      <c r="G7" s="702" t="s">
        <v>185</v>
      </c>
    </row>
    <row r="8" spans="1:7" s="2" customFormat="1" ht="12" customHeight="1">
      <c r="A8" s="26"/>
      <c r="B8" s="58" t="s">
        <v>192</v>
      </c>
      <c r="C8" s="84">
        <f>SUM('3a.számú melléklet '!C8,'3b.számú melléklet'!C8,'3c.számú melléklet'!C8)</f>
        <v>2114.5</v>
      </c>
      <c r="D8" s="84">
        <f>SUM('3a.számú melléklet '!D8,'3b.számú melléklet'!D8,'3c.számú melléklet'!D8)</f>
        <v>2114.5</v>
      </c>
      <c r="E8" s="84">
        <f>SUM('3a.számú melléklet '!E8,'3b.számú melléklet'!E8,'3c.számú melléklet'!E8)</f>
        <v>2108.5</v>
      </c>
      <c r="F8" s="84">
        <f>SUM('3a.számú melléklet '!F8,'3b.számú melléklet'!F8,'3c.számú melléklet'!F8)</f>
        <v>3</v>
      </c>
      <c r="G8" s="84">
        <f>SUM('3a.számú melléklet '!G8,'3b.számú melléklet'!G8,'3c.számú melléklet'!G8)</f>
        <v>2111.5</v>
      </c>
    </row>
    <row r="9" spans="1:7" s="78" customFormat="1" ht="12" customHeight="1">
      <c r="A9" s="76"/>
      <c r="B9" s="77" t="s">
        <v>166</v>
      </c>
      <c r="C9" s="17"/>
      <c r="D9" s="17"/>
      <c r="E9" s="17"/>
      <c r="F9" s="17"/>
      <c r="G9" s="17"/>
    </row>
    <row r="10" spans="1:7" s="3" customFormat="1" ht="12" customHeight="1">
      <c r="A10" s="27" t="s">
        <v>208</v>
      </c>
      <c r="B10" s="55" t="s">
        <v>167</v>
      </c>
      <c r="C10" s="71">
        <f>SUM('3a.számú melléklet '!C10,'3b.számú melléklet'!C10,'3c.számú melléklet'!C10)</f>
        <v>4721932</v>
      </c>
      <c r="D10" s="71">
        <f>SUM('3a.számú melléklet '!D10,'3b.számú melléklet'!D10,'3c.számú melléklet'!D10)</f>
        <v>4777424</v>
      </c>
      <c r="E10" s="71">
        <f>SUM('3a.számú melléklet '!E10,'3b.számú melléklet'!E10,'3c.számú melléklet'!E10)</f>
        <v>4784199</v>
      </c>
      <c r="F10" s="71">
        <f>SUM('3a.számú melléklet '!F10,'3b.számú melléklet'!F10,'3c.számú melléklet'!F10)</f>
        <v>151526</v>
      </c>
      <c r="G10" s="71">
        <f>SUM('3a.számú melléklet '!G10,'3b.számú melléklet'!G10,'3c.számú melléklet'!G10)</f>
        <v>4935725</v>
      </c>
    </row>
    <row r="11" spans="1:7" s="3" customFormat="1" ht="12" customHeight="1">
      <c r="A11" s="27" t="s">
        <v>209</v>
      </c>
      <c r="B11" s="56" t="s">
        <v>168</v>
      </c>
      <c r="C11" s="71">
        <f>SUM('3a.számú melléklet '!C11,'3b.számú melléklet'!C11,'3c.számú melléklet'!C11)</f>
        <v>1507837</v>
      </c>
      <c r="D11" s="71">
        <f>SUM('3a.számú melléklet '!D11,'3b.számú melléklet'!D11,'3c.számú melléklet'!D11)</f>
        <v>1525190</v>
      </c>
      <c r="E11" s="71">
        <f>SUM('3a.számú melléklet '!E11,'3b.számú melléklet'!E11,'3c.számú melléklet'!E11)</f>
        <v>1523899</v>
      </c>
      <c r="F11" s="71">
        <f>SUM('3a.számú melléklet '!F11,'3b.számú melléklet'!F11,'3c.számú melléklet'!F11)</f>
        <v>48929</v>
      </c>
      <c r="G11" s="71">
        <f>SUM('3a.számú melléklet '!G11,'3b.számú melléklet'!G11,'3c.számú melléklet'!G11)</f>
        <v>1572828</v>
      </c>
    </row>
    <row r="12" spans="1:7" s="3" customFormat="1" ht="12" customHeight="1">
      <c r="A12" s="27"/>
      <c r="B12" s="53" t="s">
        <v>308</v>
      </c>
      <c r="C12" s="71">
        <f>SUM('3a.számú melléklet '!C12,'3b.számú melléklet'!C12,'3c.számú melléklet'!C12)</f>
        <v>1306980</v>
      </c>
      <c r="D12" s="71">
        <f>SUM('3a.számú melléklet '!D12,'3b.számú melléklet'!D12,'3c.számú melléklet'!D12)</f>
        <v>1319831</v>
      </c>
      <c r="E12" s="71">
        <f>SUM('3a.számú melléklet '!E12,'3b.számú melléklet'!E12,'3c.számú melléklet'!E12)</f>
        <v>1318626</v>
      </c>
      <c r="F12" s="71">
        <f>SUM('3a.számú melléklet '!F12,'3b.számú melléklet'!F12,'3c.számú melléklet'!F12)</f>
        <v>44029</v>
      </c>
      <c r="G12" s="71">
        <f>SUM('3a.számú melléklet '!G12,'3b.számú melléklet'!G12,'3c.számú melléklet'!G12)</f>
        <v>1362655</v>
      </c>
    </row>
    <row r="13" spans="1:7" s="3" customFormat="1" ht="12" customHeight="1">
      <c r="A13" s="27"/>
      <c r="B13" s="53" t="s">
        <v>67</v>
      </c>
      <c r="C13" s="71">
        <f>SUM('3a.számú melléklet '!C13,'3b.számú melléklet'!C13,'3c.számú melléklet'!C13)</f>
        <v>134893</v>
      </c>
      <c r="D13" s="71">
        <f>SUM('3a.számú melléklet '!D13,'3b.számú melléklet'!D13,'3c.számú melléklet'!D13)</f>
        <v>136043</v>
      </c>
      <c r="E13" s="71">
        <f>SUM('3a.számú melléklet '!E13,'3b.számú melléklet'!E13,'3c.számú melléklet'!E13)</f>
        <v>135957</v>
      </c>
      <c r="F13" s="71">
        <f>SUM('3a.számú melléklet '!F13,'3b.számú melléklet'!F13,'3c.számú melléklet'!F13)</f>
        <v>4936</v>
      </c>
      <c r="G13" s="71">
        <f>SUM('3a.számú melléklet '!G13,'3b.számú melléklet'!G13,'3c.számú melléklet'!G13)</f>
        <v>140893</v>
      </c>
    </row>
    <row r="14" spans="1:7" s="3" customFormat="1" ht="12" customHeight="1">
      <c r="A14" s="27"/>
      <c r="B14" s="53" t="s">
        <v>68</v>
      </c>
      <c r="C14" s="71">
        <f>SUM('3a.számú melléklet '!C14,'3b.számú melléklet'!C14,'3c.számú melléklet'!C14)</f>
        <v>49512</v>
      </c>
      <c r="D14" s="71">
        <f>SUM('3a.számú melléklet '!D14,'3b.számú melléklet'!D14,'3c.számú melléklet'!D14)</f>
        <v>52864</v>
      </c>
      <c r="E14" s="71">
        <f>SUM('3a.számú melléklet '!E14,'3b.számú melléklet'!E14,'3c.számú melléklet'!E14)</f>
        <v>52864</v>
      </c>
      <c r="F14" s="71">
        <f>SUM('3a.számú melléklet '!F14,'3b.számú melléklet'!F14,'3c.számú melléklet'!F14)</f>
        <v>-36</v>
      </c>
      <c r="G14" s="71">
        <f>SUM('3a.számú melléklet '!G14,'3b.számú melléklet'!G14,'3c.számú melléklet'!G14)</f>
        <v>52828</v>
      </c>
    </row>
    <row r="15" spans="1:7" s="3" customFormat="1" ht="12" customHeight="1">
      <c r="A15" s="27"/>
      <c r="B15" s="53" t="s">
        <v>307</v>
      </c>
      <c r="C15" s="71">
        <f>SUM('3a.számú melléklet '!C15,'3b.számú melléklet'!C15,'3c.számú melléklet'!C15)</f>
        <v>16452</v>
      </c>
      <c r="D15" s="71">
        <f>SUM('3a.számú melléklet '!D15,'3b.számú melléklet'!D15,'3c.számú melléklet'!D15)</f>
        <v>16452</v>
      </c>
      <c r="E15" s="71">
        <f>SUM('3a.számú melléklet '!E15,'3b.számú melléklet'!E15,'3c.számú melléklet'!E15)</f>
        <v>16452</v>
      </c>
      <c r="F15" s="71">
        <f>SUM('3a.számú melléklet '!F15,'3b.számú melléklet'!F15,'3c.számú melléklet'!F15)</f>
        <v>0</v>
      </c>
      <c r="G15" s="71">
        <f>SUM('3a.számú melléklet '!G15,'3b.számú melléklet'!G15,'3c.számú melléklet'!G15)</f>
        <v>16452</v>
      </c>
    </row>
    <row r="16" spans="1:7" s="3" customFormat="1" ht="12" customHeight="1">
      <c r="A16" s="27" t="s">
        <v>210</v>
      </c>
      <c r="B16" s="55" t="s">
        <v>169</v>
      </c>
      <c r="C16" s="71">
        <f>SUM('3a.számú melléklet '!C16,'3b.számú melléklet'!C16,'3c.számú melléklet'!C16)</f>
        <v>2239193</v>
      </c>
      <c r="D16" s="71">
        <f>SUM('3a.számú melléklet '!D16,'3b.számú melléklet'!D16,'3c.számú melléklet'!D16)</f>
        <v>2355464</v>
      </c>
      <c r="E16" s="71">
        <f>SUM('3a.számú melléklet '!E16,'3b.számú melléklet'!E16,'3c.számú melléklet'!E16)</f>
        <v>2363487</v>
      </c>
      <c r="F16" s="71">
        <f>SUM('3a.számú melléklet '!F16,'3b.számú melléklet'!F16,'3c.számú melléklet'!F16)</f>
        <v>51138</v>
      </c>
      <c r="G16" s="71">
        <f>SUM('3a.számú melléklet '!G16,'3b.számú melléklet'!G16,'3c.számú melléklet'!G16)</f>
        <v>2414625</v>
      </c>
    </row>
    <row r="17" spans="1:7" s="3" customFormat="1" ht="23.25" customHeight="1">
      <c r="A17" s="27" t="s">
        <v>182</v>
      </c>
      <c r="B17" s="59" t="s">
        <v>64</v>
      </c>
      <c r="C17" s="288">
        <f>SUM('3a.számú melléklet '!C17,'3b.számú melléklet'!C17,'3c.számú melléklet'!C17)</f>
        <v>0</v>
      </c>
      <c r="D17" s="288">
        <f>SUM('3a.számú melléklet '!D17,'3b.számú melléklet'!D17,'3c.számú melléklet'!D17)</f>
        <v>163300</v>
      </c>
      <c r="E17" s="288">
        <f>SUM('3a.számú melléklet '!E17,'3b.számú melléklet'!E17,'3c.számú melléklet'!E17)</f>
        <v>163300</v>
      </c>
      <c r="F17" s="288">
        <f>SUM('3a.számú melléklet '!F17,'3b.számú melléklet'!F17,'3c.számú melléklet'!F17)</f>
        <v>0</v>
      </c>
      <c r="G17" s="288">
        <f>SUM('3a.számú melléklet '!G17,'3b.számú melléklet'!G17,'3c.számú melléklet'!G17)</f>
        <v>163300</v>
      </c>
    </row>
    <row r="18" spans="1:7" s="3" customFormat="1" ht="12" customHeight="1">
      <c r="A18" s="96"/>
      <c r="B18" s="139" t="s">
        <v>60</v>
      </c>
      <c r="C18" s="72">
        <f>SUM('3a.számú melléklet '!C18,'3b.számú melléklet'!C18,'3c.számú melléklet'!C18)</f>
        <v>0</v>
      </c>
      <c r="D18" s="72">
        <f>SUM('3a.számú melléklet '!D18,'3b.számú melléklet'!D18,'3c.számú melléklet'!D18)</f>
        <v>163300</v>
      </c>
      <c r="E18" s="72">
        <f>SUM('3a.számú melléklet '!E18,'3b.számú melléklet'!E18,'3c.számú melléklet'!E18)</f>
        <v>163300</v>
      </c>
      <c r="F18" s="72">
        <f>SUM('3a.számú melléklet '!F18,'3b.számú melléklet'!F18,'3c.számú melléklet'!F18)</f>
        <v>0</v>
      </c>
      <c r="G18" s="72">
        <f>SUM('3a.számú melléklet '!G18,'3b.számú melléklet'!G18,'3c.számú melléklet'!G18)</f>
        <v>163300</v>
      </c>
    </row>
    <row r="19" spans="1:7" s="3" customFormat="1" ht="12" customHeight="1">
      <c r="A19" s="94"/>
      <c r="B19" s="140" t="s">
        <v>288</v>
      </c>
      <c r="C19" s="73">
        <f>SUM('3a.számú melléklet '!C19,'3b.számú melléklet'!C19,'3c.számú melléklet'!C19)</f>
        <v>0</v>
      </c>
      <c r="D19" s="73">
        <f>SUM('3a.számú melléklet '!D19,'3b.számú melléklet'!D19,'3c.számú melléklet'!D19)</f>
        <v>163300</v>
      </c>
      <c r="E19" s="73">
        <f>SUM('3a.számú melléklet '!E19,'3b.számú melléklet'!E19,'3c.számú melléklet'!E19)</f>
        <v>163300</v>
      </c>
      <c r="F19" s="73">
        <f>SUM('3a.számú melléklet '!F19,'3b.számú melléklet'!F19,'3c.számú melléklet'!F19)</f>
        <v>0</v>
      </c>
      <c r="G19" s="73">
        <f>SUM('3a.számú melléklet '!G19,'3b.számú melléklet'!G19,'3c.számú melléklet'!G19)</f>
        <v>163300</v>
      </c>
    </row>
    <row r="20" spans="1:7" s="3" customFormat="1" ht="24" customHeight="1">
      <c r="A20" s="27"/>
      <c r="B20" s="105" t="s">
        <v>470</v>
      </c>
      <c r="C20" s="73">
        <f>SUM('3a.számú melléklet '!C20,'3b.számú melléklet'!C20,'3c.számú melléklet'!C20)</f>
        <v>0</v>
      </c>
      <c r="D20" s="73">
        <f>SUM('3a.számú melléklet '!D20,'3b.számú melléklet'!D20,'3c.számú melléklet'!D20)</f>
        <v>0</v>
      </c>
      <c r="E20" s="73">
        <f>SUM('3a.számú melléklet '!E20,'3b.számú melléklet'!E20,'3c.számú melléklet'!E20)</f>
        <v>0</v>
      </c>
      <c r="F20" s="73">
        <f>SUM('3a.számú melléklet '!F20,'3b.számú melléklet'!F20,'3c.számú melléklet'!F20)</f>
        <v>0</v>
      </c>
      <c r="G20" s="73">
        <f>SUM('3a.számú melléklet '!G20,'3b.számú melléklet'!G20,'3c.számú melléklet'!G20)</f>
        <v>0</v>
      </c>
    </row>
    <row r="21" spans="1:7" s="3" customFormat="1" ht="12" customHeight="1">
      <c r="A21" s="27" t="s">
        <v>183</v>
      </c>
      <c r="B21" s="55" t="s">
        <v>250</v>
      </c>
      <c r="C21" s="71">
        <f>SUM('3a.számú melléklet '!C21,'3b.számú melléklet'!C21,'3c.számú melléklet'!C21)</f>
        <v>330</v>
      </c>
      <c r="D21" s="71">
        <f>SUM('3a.számú melléklet '!D21,'3b.számú melléklet'!D21,'3c.számú melléklet'!D21)</f>
        <v>330</v>
      </c>
      <c r="E21" s="71">
        <f>SUM('3a.számú melléklet '!E21,'3b.számú melléklet'!E21,'3c.számú melléklet'!E21)</f>
        <v>330</v>
      </c>
      <c r="F21" s="71">
        <f>SUM('3a.számú melléklet '!F21,'3b.számú melléklet'!F21,'3c.számú melléklet'!F21)</f>
        <v>0</v>
      </c>
      <c r="G21" s="71">
        <f>SUM('3a.számú melléklet '!G21,'3b.számú melléklet'!G21,'3c.számú melléklet'!G21)</f>
        <v>330</v>
      </c>
    </row>
    <row r="22" spans="1:7" s="3" customFormat="1" ht="12" customHeight="1">
      <c r="A22" s="27" t="s">
        <v>184</v>
      </c>
      <c r="B22" s="55" t="s">
        <v>384</v>
      </c>
      <c r="C22" s="71">
        <f>SUM('3a.számú melléklet '!C22,'3b.számú melléklet'!C22,'3c.számú melléklet'!C22)</f>
        <v>0</v>
      </c>
      <c r="D22" s="71">
        <f>SUM('3a.számú melléklet '!D22,'3b.számú melléklet'!D22,'3c.számú melléklet'!D22)</f>
        <v>220</v>
      </c>
      <c r="E22" s="71">
        <f>SUM('3a.számú melléklet '!E22,'3b.számú melléklet'!E22,'3c.számú melléklet'!E22)</f>
        <v>580</v>
      </c>
      <c r="F22" s="71">
        <f>SUM('3a.számú melléklet '!F22,'3b.számú melléklet'!F22,'3c.számú melléklet'!F22)</f>
        <v>0</v>
      </c>
      <c r="G22" s="71">
        <f>SUM('3a.számú melléklet '!G22,'3b.számú melléklet'!G22,'3c.számú melléklet'!G22)</f>
        <v>580</v>
      </c>
    </row>
    <row r="23" spans="1:7" s="80" customFormat="1" ht="13.5">
      <c r="A23" s="76" t="s">
        <v>80</v>
      </c>
      <c r="B23" s="77" t="s">
        <v>309</v>
      </c>
      <c r="C23" s="46">
        <f>SUM('3a.számú melléklet '!C23,'3b.számú melléklet'!C23,'3c.számú melléklet'!C23)</f>
        <v>8469292</v>
      </c>
      <c r="D23" s="46">
        <f>SUM('3a.számú melléklet '!D23,'3b.számú melléklet'!D23,'3c.számú melléklet'!D23)</f>
        <v>8821928</v>
      </c>
      <c r="E23" s="46">
        <f>SUM('3a.számú melléklet '!E23,'3b.számú melléklet'!E23,'3c.számú melléklet'!E23)</f>
        <v>8835795</v>
      </c>
      <c r="F23" s="46">
        <f>SUM('3a.számú melléklet '!F23,'3b.számú melléklet'!F23,'3c.számú melléklet'!F23)</f>
        <v>251593</v>
      </c>
      <c r="G23" s="46">
        <f>SUM('3a.számú melléklet '!G23,'3b.számú melléklet'!G23,'3c.számú melléklet'!G23)</f>
        <v>9087388</v>
      </c>
    </row>
    <row r="24" spans="1:7" s="3" customFormat="1" ht="12" customHeight="1">
      <c r="A24" s="27" t="s">
        <v>185</v>
      </c>
      <c r="B24" s="55" t="s">
        <v>69</v>
      </c>
      <c r="C24" s="71">
        <f>SUM('3a.számú melléklet '!C24,'3b.számú melléklet'!C24,'3c.számú melléklet'!C24)</f>
        <v>6000</v>
      </c>
      <c r="D24" s="71">
        <f>SUM('3a.számú melléklet '!D24,'3b.számú melléklet'!D24,'3c.számú melléklet'!D24)</f>
        <v>738869</v>
      </c>
      <c r="E24" s="71">
        <f>SUM('3a.számú melléklet '!E24,'3b.számú melléklet'!E24,'3c.számú melléklet'!E24)</f>
        <v>727046</v>
      </c>
      <c r="F24" s="71">
        <f>SUM('3a.számú melléklet '!F24,'3b.számú melléklet'!F24,'3c.számú melléklet'!F24)</f>
        <v>324001</v>
      </c>
      <c r="G24" s="71">
        <f>SUM('3a.számú melléklet '!G24,'3b.számú melléklet'!G24,'3c.számú melléklet'!G24)</f>
        <v>1051047</v>
      </c>
    </row>
    <row r="25" spans="1:7" s="3" customFormat="1" ht="12" customHeight="1">
      <c r="A25" s="27" t="s">
        <v>186</v>
      </c>
      <c r="B25" s="55" t="s">
        <v>72</v>
      </c>
      <c r="C25" s="71">
        <f>SUM('3a.számú melléklet '!C25,'3b.számú melléklet'!C25,'3c.számú melléklet'!C25)</f>
        <v>28000</v>
      </c>
      <c r="D25" s="71">
        <f>SUM('3a.számú melléklet '!D25,'3b.számú melléklet'!D25,'3c.számú melléklet'!D25)</f>
        <v>72601</v>
      </c>
      <c r="E25" s="71">
        <f>SUM('3a.számú melléklet '!E25,'3b.számú melléklet'!E25,'3c.számú melléklet'!E25)</f>
        <v>80456</v>
      </c>
      <c r="F25" s="71">
        <f>SUM('3a.számú melléklet '!F25,'3b.számú melléklet'!F25,'3c.számú melléklet'!F25)</f>
        <v>15665</v>
      </c>
      <c r="G25" s="71">
        <f>SUM('3a.számú melléklet '!G25,'3b.számú melléklet'!G25,'3c.számú melléklet'!G25)</f>
        <v>96121</v>
      </c>
    </row>
    <row r="26" spans="1:7" s="3" customFormat="1" ht="24.75" customHeight="1">
      <c r="A26" s="27" t="s">
        <v>187</v>
      </c>
      <c r="B26" s="59" t="s">
        <v>65</v>
      </c>
      <c r="C26" s="9">
        <f>SUM('3a.számú melléklet '!C26,'3b.számú melléklet'!C26,'3c.számú melléklet'!C26)</f>
        <v>0</v>
      </c>
      <c r="D26" s="9">
        <f>SUM('3a.számú melléklet '!D26,'3b.számú melléklet'!D26,'3c.számú melléklet'!D26)</f>
        <v>50000</v>
      </c>
      <c r="E26" s="9">
        <f>SUM('3a.számú melléklet '!E26,'3b.számú melléklet'!E26,'3c.számú melléklet'!E26)</f>
        <v>50000</v>
      </c>
      <c r="F26" s="9">
        <f>SUM('3a.számú melléklet '!F26,'3b.számú melléklet'!F26,'3c.számú melléklet'!F26)</f>
        <v>0</v>
      </c>
      <c r="G26" s="9">
        <f>SUM('3a.számú melléklet '!G26,'3b.számú melléklet'!G26,'3c.számú melléklet'!G26)</f>
        <v>50000</v>
      </c>
    </row>
    <row r="27" spans="1:7" s="3" customFormat="1" ht="11.25" customHeight="1">
      <c r="A27" s="96"/>
      <c r="B27" s="139" t="s">
        <v>471</v>
      </c>
      <c r="C27" s="72">
        <f>SUM('3a.számú melléklet '!C27,'3b.számú melléklet'!C27,'3c.számú melléklet'!C27)</f>
        <v>0</v>
      </c>
      <c r="D27" s="72">
        <f>SUM('3a.számú melléklet '!D27,'3b.számú melléklet'!D27,'3c.számú melléklet'!D27)</f>
        <v>50000</v>
      </c>
      <c r="E27" s="72">
        <f>SUM('3a.számú melléklet '!E27,'3b.számú melléklet'!E27,'3c.számú melléklet'!E27)</f>
        <v>50000</v>
      </c>
      <c r="F27" s="72">
        <f>SUM('3a.számú melléklet '!F27,'3b.számú melléklet'!F27,'3c.számú melléklet'!F27)</f>
        <v>0</v>
      </c>
      <c r="G27" s="72">
        <f>SUM('3a.számú melléklet '!G27,'3b.számú melléklet'!G27,'3c.számú melléklet'!G27)</f>
        <v>50000</v>
      </c>
    </row>
    <row r="28" spans="1:7" s="3" customFormat="1" ht="11.25" customHeight="1">
      <c r="A28" s="94"/>
      <c r="B28" s="140" t="s">
        <v>288</v>
      </c>
      <c r="C28" s="73">
        <f>SUM('3a.számú melléklet '!C28,'3b.számú melléklet'!C28,'3c.számú melléklet'!C28)</f>
        <v>0</v>
      </c>
      <c r="D28" s="73">
        <f>SUM('3a.számú melléklet '!D28,'3b.számú melléklet'!D28,'3c.számú melléklet'!D28)</f>
        <v>50000</v>
      </c>
      <c r="E28" s="73">
        <f>SUM('3a.számú melléklet '!E28,'3b.számú melléklet'!E28,'3c.számú melléklet'!E28)</f>
        <v>50000</v>
      </c>
      <c r="F28" s="73">
        <f>SUM('3a.számú melléklet '!F28,'3b.számú melléklet'!F28,'3c.számú melléklet'!F28)</f>
        <v>0</v>
      </c>
      <c r="G28" s="73">
        <f>SUM('3a.számú melléklet '!G28,'3b.számú melléklet'!G28,'3c.számú melléklet'!G28)</f>
        <v>50000</v>
      </c>
    </row>
    <row r="29" spans="1:7" s="3" customFormat="1" ht="24" customHeight="1">
      <c r="A29" s="27"/>
      <c r="B29" s="105" t="s">
        <v>472</v>
      </c>
      <c r="C29" s="73">
        <f>SUM('3a.számú melléklet '!C29,'3b.számú melléklet'!C29,'3c.számú melléklet'!C29)</f>
        <v>0</v>
      </c>
      <c r="D29" s="73">
        <f>SUM('3a.számú melléklet '!D29,'3b.számú melléklet'!D29,'3c.számú melléklet'!D29)</f>
        <v>0</v>
      </c>
      <c r="E29" s="73">
        <f>SUM('3a.számú melléklet '!E29,'3b.számú melléklet'!E29,'3c.számú melléklet'!E29)</f>
        <v>0</v>
      </c>
      <c r="F29" s="73">
        <f>SUM('3a.számú melléklet '!F29,'3b.számú melléklet'!F29,'3c.számú melléklet'!F29)</f>
        <v>0</v>
      </c>
      <c r="G29" s="73">
        <f>SUM('3a.számú melléklet '!G29,'3b.számú melléklet'!G29,'3c.számú melléklet'!G29)</f>
        <v>0</v>
      </c>
    </row>
    <row r="30" spans="1:7" s="78" customFormat="1" ht="12" customHeight="1">
      <c r="A30" s="76" t="s">
        <v>329</v>
      </c>
      <c r="B30" s="77" t="s">
        <v>310</v>
      </c>
      <c r="C30" s="46">
        <f>SUM('3a.számú melléklet '!C30,'3b.számú melléklet'!C30,'3c.számú melléklet'!C30)</f>
        <v>34000</v>
      </c>
      <c r="D30" s="46">
        <f>SUM('3a.számú melléklet '!D30,'3b.számú melléklet'!D30,'3c.számú melléklet'!D30)</f>
        <v>861470</v>
      </c>
      <c r="E30" s="46">
        <f>SUM('3a.számú melléklet '!E30,'3b.számú melléklet'!E30,'3c.számú melléklet'!E30)</f>
        <v>857502</v>
      </c>
      <c r="F30" s="46">
        <f>SUM('3a.számú melléklet '!F30,'3b.számú melléklet'!F30,'3c.számú melléklet'!F30)</f>
        <v>339666</v>
      </c>
      <c r="G30" s="46">
        <f>SUM('3a.számú melléklet '!G30,'3b.számú melléklet'!G30,'3c.számú melléklet'!G30)</f>
        <v>1197168</v>
      </c>
    </row>
    <row r="31" spans="1:7" s="78" customFormat="1" ht="12" customHeight="1">
      <c r="A31" s="76"/>
      <c r="B31" s="77" t="s">
        <v>128</v>
      </c>
      <c r="C31" s="46">
        <f>SUM('3a.számú melléklet '!C31,'3b.számú melléklet'!C31,'3c.számú melléklet'!C31)</f>
        <v>8503292</v>
      </c>
      <c r="D31" s="46">
        <f>SUM('3a.számú melléklet '!D31,'3b.számú melléklet'!D31,'3c.számú melléklet'!D31)</f>
        <v>9683398</v>
      </c>
      <c r="E31" s="46">
        <f>SUM('3a.számú melléklet '!E31,'3b.számú melléklet'!E31,'3c.számú melléklet'!E31)</f>
        <v>9693297</v>
      </c>
      <c r="F31" s="46">
        <f>SUM('3a.számú melléklet '!F31,'3b.számú melléklet'!F31,'3c.számú melléklet'!F31)</f>
        <v>591259</v>
      </c>
      <c r="G31" s="46">
        <f>SUM('3a.számú melléklet '!G31,'3b.számú melléklet'!G31,'3c.számú melléklet'!G31)</f>
        <v>10284556</v>
      </c>
    </row>
    <row r="32" spans="1:7" s="78" customFormat="1" ht="12" customHeight="1">
      <c r="A32" s="76"/>
      <c r="B32" s="77" t="s">
        <v>311</v>
      </c>
      <c r="C32" s="71"/>
      <c r="D32" s="71"/>
      <c r="E32" s="71"/>
      <c r="F32" s="71"/>
      <c r="G32" s="71"/>
    </row>
    <row r="33" spans="1:7" s="78" customFormat="1" ht="11.25" customHeight="1">
      <c r="A33" s="27" t="s">
        <v>208</v>
      </c>
      <c r="B33" s="107" t="s">
        <v>234</v>
      </c>
      <c r="C33" s="72">
        <f>SUM('3a.számú melléklet '!C33,'3b.számú melléklet'!C33,'3c.számú melléklet'!C33)</f>
        <v>0</v>
      </c>
      <c r="D33" s="72">
        <f>SUM('3a.számú melléklet '!D33,'3b.számú melléklet'!D33,'3c.számú melléklet'!D33)</f>
        <v>0</v>
      </c>
      <c r="E33" s="72">
        <f>SUM('3a.számú melléklet '!E33,'3b.számú melléklet'!E33,'3c.számú melléklet'!E33)</f>
        <v>0</v>
      </c>
      <c r="F33" s="72">
        <f>SUM('3a.számú melléklet '!F33,'3b.számú melléklet'!F33,'3c.számú melléklet'!F33)</f>
        <v>0</v>
      </c>
      <c r="G33" s="72">
        <f>SUM('3a.számú melléklet '!G33,'3b.számú melléklet'!G33,'3c.számú melléklet'!G33)</f>
        <v>0</v>
      </c>
    </row>
    <row r="34" spans="1:7" s="78" customFormat="1" ht="24" customHeight="1">
      <c r="A34" s="96" t="s">
        <v>209</v>
      </c>
      <c r="B34" s="138" t="s">
        <v>414</v>
      </c>
      <c r="C34" s="71">
        <f>SUM('3a.számú melléklet '!C34,'3b.számú melléklet'!C34,'3c.számú melléklet'!C34)</f>
        <v>459916</v>
      </c>
      <c r="D34" s="71">
        <f>SUM('3a.számú melléklet '!D34,'3b.számú melléklet'!D34,'3c.számú melléklet'!D34)</f>
        <v>465773</v>
      </c>
      <c r="E34" s="71">
        <f>SUM('3a.számú melléklet '!E34,'3b.számú melléklet'!E34,'3c.számú melléklet'!E34)</f>
        <v>466709</v>
      </c>
      <c r="F34" s="71">
        <f>SUM('3a.számú melléklet '!F34,'3b.számú melléklet'!F34,'3c.számú melléklet'!F34)</f>
        <v>6578</v>
      </c>
      <c r="G34" s="71">
        <f>SUM('3a.számú melléklet '!G34,'3b.számú melléklet'!G34,'3c.számú melléklet'!G34)</f>
        <v>473287</v>
      </c>
    </row>
    <row r="35" spans="1:7" s="78" customFormat="1" ht="12" customHeight="1">
      <c r="A35" s="27" t="s">
        <v>210</v>
      </c>
      <c r="B35" s="12" t="s">
        <v>181</v>
      </c>
      <c r="C35" s="71">
        <f>SUM('3a.számú melléklet '!C35,'3b.számú melléklet'!C35,'3c.számú melléklet'!C35)</f>
        <v>20788</v>
      </c>
      <c r="D35" s="71">
        <f>SUM('3a.számú melléklet '!D35,'3b.számú melléklet'!D35,'3c.számú melléklet'!D35)</f>
        <v>20788</v>
      </c>
      <c r="E35" s="71">
        <f>SUM('3a.számú melléklet '!E35,'3b.számú melléklet'!E35,'3c.számú melléklet'!E35)</f>
        <v>20788</v>
      </c>
      <c r="F35" s="71">
        <f>SUM('3a.számú melléklet '!F35,'3b.számú melléklet'!F35,'3c.számú melléklet'!F35)</f>
        <v>0</v>
      </c>
      <c r="G35" s="71">
        <f>SUM('3a.számú melléklet '!G35,'3b.számú melléklet'!G35,'3c.számú melléklet'!G35)</f>
        <v>20788</v>
      </c>
    </row>
    <row r="36" spans="1:7" s="78" customFormat="1" ht="12" customHeight="1">
      <c r="A36" s="27" t="s">
        <v>182</v>
      </c>
      <c r="B36" s="55" t="s">
        <v>111</v>
      </c>
      <c r="C36" s="71">
        <f>SUM('3a.számú melléklet '!C36,'3b.számú melléklet'!C36,'3c.számú melléklet'!C36)</f>
        <v>467</v>
      </c>
      <c r="D36" s="71">
        <f>SUM('3a.számú melléklet '!D36,'3b.számú melléklet'!D36,'3c.számú melléklet'!D36)</f>
        <v>467</v>
      </c>
      <c r="E36" s="71">
        <f>SUM('3a.számú melléklet '!E36,'3b.számú melléklet'!E36,'3c.számú melléklet'!E36)</f>
        <v>467</v>
      </c>
      <c r="F36" s="71">
        <f>SUM('3a.számú melléklet '!F36,'3b.számú melléklet'!F36,'3c.számú melléklet'!F36)</f>
        <v>0</v>
      </c>
      <c r="G36" s="71">
        <f>SUM('3a.számú melléklet '!G36,'3b.számú melléklet'!G36,'3c.számú melléklet'!G36)</f>
        <v>467</v>
      </c>
    </row>
    <row r="37" spans="1:7" s="78" customFormat="1" ht="12" customHeight="1">
      <c r="A37" s="27" t="s">
        <v>183</v>
      </c>
      <c r="B37" s="55" t="s">
        <v>141</v>
      </c>
      <c r="C37" s="72">
        <f>SUM('3a.számú melléklet '!C37,'3b.számú melléklet'!C37,'3c.számú melléklet'!C37)</f>
        <v>80578</v>
      </c>
      <c r="D37" s="72">
        <f>SUM('3a.számú melléklet '!D37,'3b.számú melléklet'!D37,'3c.számú melléklet'!D37)</f>
        <v>80578</v>
      </c>
      <c r="E37" s="72">
        <f>SUM('3a.számú melléklet '!E37,'3b.számú melléklet'!E37,'3c.számú melléklet'!E37)</f>
        <v>80578</v>
      </c>
      <c r="F37" s="72">
        <f>SUM('3a.számú melléklet '!F37,'3b.számú melléklet'!F37,'3c.számú melléklet'!F37)</f>
        <v>0</v>
      </c>
      <c r="G37" s="72">
        <f>SUM('3a.számú melléklet '!G37,'3b.számú melléklet'!G37,'3c.számú melléklet'!G37)</f>
        <v>80578</v>
      </c>
    </row>
    <row r="38" spans="1:7" s="78" customFormat="1" ht="25.5" customHeight="1">
      <c r="A38" s="96" t="s">
        <v>184</v>
      </c>
      <c r="B38" s="141" t="s">
        <v>62</v>
      </c>
      <c r="C38" s="72">
        <f>SUM('3a.számú melléklet '!C38,'3b.számú melléklet'!C38,'3c.számú melléklet'!C38)</f>
        <v>769784</v>
      </c>
      <c r="D38" s="72">
        <f>SUM('3a.számú melléklet '!D38,'3b.számú melléklet'!D38,'3c.számú melléklet'!D38)</f>
        <v>770040</v>
      </c>
      <c r="E38" s="72">
        <f>SUM('3a.számú melléklet '!E38,'3b.számú melléklet'!E38,'3c.számú melléklet'!E38)</f>
        <v>770783</v>
      </c>
      <c r="F38" s="72">
        <f>SUM('3a.számú melléklet '!F38,'3b.számú melléklet'!F38,'3c.számú melléklet'!F38)</f>
        <v>0</v>
      </c>
      <c r="G38" s="72">
        <f>SUM('3a.számú melléklet '!G38,'3b.számú melléklet'!G38,'3c.számú melléklet'!G38)</f>
        <v>770783</v>
      </c>
    </row>
    <row r="39" spans="1:7" s="78" customFormat="1" ht="12" customHeight="1">
      <c r="A39" s="94"/>
      <c r="B39" s="140" t="s">
        <v>288</v>
      </c>
      <c r="C39" s="73">
        <f>SUM('3a.számú melléklet '!C39,'3b.számú melléklet'!C39,'3c.számú melléklet'!C39)</f>
        <v>0</v>
      </c>
      <c r="D39" s="73">
        <f>SUM('3a.számú melléklet '!D39,'3b.számú melléklet'!D39,'3c.számú melléklet'!D39)</f>
        <v>0</v>
      </c>
      <c r="E39" s="73">
        <f>SUM('3a.számú melléklet '!E39,'3b.számú melléklet'!E39,'3c.számú melléklet'!E39)</f>
        <v>0</v>
      </c>
      <c r="F39" s="73">
        <f>SUM('3a.számú melléklet '!F39,'3b.számú melléklet'!F39,'3c.számú melléklet'!F39)</f>
        <v>0</v>
      </c>
      <c r="G39" s="73">
        <f>SUM('3a.számú melléklet '!G39,'3b.számú melléklet'!G39,'3c.számú melléklet'!G39)</f>
        <v>0</v>
      </c>
    </row>
    <row r="40" spans="1:7" s="78" customFormat="1" ht="24" customHeight="1">
      <c r="A40" s="27" t="s">
        <v>185</v>
      </c>
      <c r="B40" s="110" t="s">
        <v>119</v>
      </c>
      <c r="C40" s="135">
        <f>SUM('3a.számú melléklet '!C40,'3b.számú melléklet'!C40,'3c.számú melléklet'!C40)</f>
        <v>0</v>
      </c>
      <c r="D40" s="135">
        <f>SUM('3a.számú melléklet '!D40,'3b.számú melléklet'!D40,'3c.számú melléklet'!D40)</f>
        <v>2216</v>
      </c>
      <c r="E40" s="135">
        <f>SUM('3a.számú melléklet '!E40,'3b.számú melléklet'!E40,'3c.számú melléklet'!E40)</f>
        <v>2997</v>
      </c>
      <c r="F40" s="135">
        <f>SUM('3a.számú melléklet '!F40,'3b.számú melléklet'!F40,'3c.számú melléklet'!F40)</f>
        <v>0</v>
      </c>
      <c r="G40" s="135">
        <f>SUM('3a.számú melléklet '!G40,'3b.számú melléklet'!G40,'3c.számú melléklet'!G40)</f>
        <v>2997</v>
      </c>
    </row>
    <row r="41" spans="1:7" s="78" customFormat="1" ht="12" customHeight="1">
      <c r="A41" s="96" t="s">
        <v>186</v>
      </c>
      <c r="B41" s="141" t="s">
        <v>63</v>
      </c>
      <c r="C41" s="72">
        <f>SUM('3a.számú melléklet '!C41,'3b.számú melléklet'!C41,'3c.számú melléklet'!C41)</f>
        <v>0</v>
      </c>
      <c r="D41" s="72">
        <f>SUM('3a.számú melléklet '!D41,'3b.számú melléklet'!D41,'3c.számú melléklet'!D41)</f>
        <v>0</v>
      </c>
      <c r="E41" s="72">
        <f>SUM('3a.számú melléklet '!E41,'3b.számú melléklet'!E41,'3c.számú melléklet'!E41)</f>
        <v>0</v>
      </c>
      <c r="F41" s="72">
        <f>SUM('3a.számú melléklet '!F41,'3b.számú melléklet'!F41,'3c.számú melléklet'!F41)</f>
        <v>0</v>
      </c>
      <c r="G41" s="72">
        <f>SUM('3a.számú melléklet '!G41,'3b.számú melléklet'!G41,'3c.számú melléklet'!G41)</f>
        <v>0</v>
      </c>
    </row>
    <row r="42" spans="1:7" s="78" customFormat="1" ht="12" customHeight="1">
      <c r="A42" s="94"/>
      <c r="B42" s="140" t="s">
        <v>288</v>
      </c>
      <c r="C42" s="73">
        <f>SUM('3a.számú melléklet '!C42,'3b.számú melléklet'!C42,'3c.számú melléklet'!C42)</f>
        <v>0</v>
      </c>
      <c r="D42" s="73">
        <f>SUM('3a.számú melléklet '!D42,'3b.számú melléklet'!D42,'3c.számú melléklet'!D42)</f>
        <v>0</v>
      </c>
      <c r="E42" s="73">
        <f>SUM('3a.számú melléklet '!E42,'3b.számú melléklet'!E42,'3c.számú melléklet'!E42)</f>
        <v>0</v>
      </c>
      <c r="F42" s="73">
        <f>SUM('3a.számú melléklet '!F42,'3b.számú melléklet'!F42,'3c.számú melléklet'!F42)</f>
        <v>0</v>
      </c>
      <c r="G42" s="73">
        <f>SUM('3a.számú melléklet '!G42,'3b.számú melléklet'!G42,'3c.számú melléklet'!G42)</f>
        <v>0</v>
      </c>
    </row>
    <row r="43" spans="1:7" s="78" customFormat="1" ht="24" customHeight="1">
      <c r="A43" s="27" t="s">
        <v>187</v>
      </c>
      <c r="B43" s="110" t="s">
        <v>481</v>
      </c>
      <c r="C43" s="73">
        <f>SUM('3a.számú melléklet '!C43,'3b.számú melléklet'!C43,'3c.számú melléklet'!C43)</f>
        <v>0</v>
      </c>
      <c r="D43" s="73">
        <f>SUM('3a.számú melléklet '!D43,'3b.számú melléklet'!D43,'3c.számú melléklet'!D43)</f>
        <v>1241</v>
      </c>
      <c r="E43" s="73">
        <f>SUM('3a.számú melléklet '!E43,'3b.számú melléklet'!E43,'3c.számú melléklet'!E43)</f>
        <v>1241</v>
      </c>
      <c r="F43" s="73">
        <f>SUM('3a.számú melléklet '!F43,'3b.számú melléklet'!F43,'3c.számú melléklet'!F43)</f>
        <v>0</v>
      </c>
      <c r="G43" s="73">
        <f>SUM('3a.számú melléklet '!G43,'3b.számú melléklet'!G43,'3c.számú melléklet'!G43)</f>
        <v>1241</v>
      </c>
    </row>
    <row r="44" spans="1:7" s="78" customFormat="1" ht="12" customHeight="1">
      <c r="A44" s="27" t="s">
        <v>188</v>
      </c>
      <c r="B44" s="55" t="s">
        <v>303</v>
      </c>
      <c r="C44" s="71">
        <f>SUM('3a.számú melléklet '!C44,'3b.számú melléklet'!C44,'3c.számú melléklet'!C44)</f>
        <v>0</v>
      </c>
      <c r="D44" s="71">
        <f>SUM('3a.számú melléklet '!D44,'3b.számú melléklet'!D44,'3c.számú melléklet'!D44)</f>
        <v>0</v>
      </c>
      <c r="E44" s="71">
        <f>SUM('3a.számú melléklet '!E44,'3b.számú melléklet'!E44,'3c.számú melléklet'!E44)</f>
        <v>0</v>
      </c>
      <c r="F44" s="71">
        <f>SUM('3a.számú melléklet '!F44,'3b.számú melléklet'!F44,'3c.számú melléklet'!F44)</f>
        <v>0</v>
      </c>
      <c r="G44" s="71">
        <f>SUM('3a.számú melléklet '!G44,'3b.számú melléklet'!G44,'3c.számú melléklet'!G44)</f>
        <v>0</v>
      </c>
    </row>
    <row r="45" spans="1:7" s="78" customFormat="1" ht="12" customHeight="1">
      <c r="A45" s="27" t="s">
        <v>189</v>
      </c>
      <c r="B45" s="55" t="s">
        <v>304</v>
      </c>
      <c r="C45" s="71">
        <f>SUM('3a.számú melléklet '!C45,'3b.számú melléklet'!C45,'3c.számú melléklet'!C45)</f>
        <v>0</v>
      </c>
      <c r="D45" s="71">
        <f>SUM('3a.számú melléklet '!D45,'3b.számú melléklet'!D45,'3c.számú melléklet'!D45)</f>
        <v>409792</v>
      </c>
      <c r="E45" s="71">
        <f>SUM('3a.számú melléklet '!E45,'3b.számú melléklet'!E45,'3c.számú melléklet'!E45)</f>
        <v>409792</v>
      </c>
      <c r="F45" s="71">
        <f>SUM('3a.számú melléklet '!F45,'3b.számú melléklet'!F45,'3c.számú melléklet'!F45)</f>
        <v>0</v>
      </c>
      <c r="G45" s="71">
        <f>SUM('3a.számú melléklet '!G45,'3b.számú melléklet'!G45,'3c.számú melléklet'!G45)</f>
        <v>409792</v>
      </c>
    </row>
    <row r="46" spans="1:7" s="78" customFormat="1" ht="12" customHeight="1">
      <c r="A46" s="76"/>
      <c r="B46" s="77" t="s">
        <v>272</v>
      </c>
      <c r="C46" s="46">
        <f>SUM('3a.számú melléklet '!C46,'3b.számú melléklet'!C46,'3c.számú melléklet'!C46)</f>
        <v>1331533</v>
      </c>
      <c r="D46" s="46">
        <f>SUM('3a.számú melléklet '!D46,'3b.számú melléklet'!D46,'3c.számú melléklet'!D46)</f>
        <v>1750895</v>
      </c>
      <c r="E46" s="46">
        <f>SUM('3a.számú melléklet '!E46,'3b.számú melléklet'!E46,'3c.számú melléklet'!E46)</f>
        <v>1753355</v>
      </c>
      <c r="F46" s="46">
        <f>SUM('3a.számú melléklet '!F46,'3b.számú melléklet'!F46,'3c.számú melléklet'!F46)</f>
        <v>6578</v>
      </c>
      <c r="G46" s="46">
        <f>SUM('3a.számú melléklet '!G46,'3b.számú melléklet'!G46,'3c.számú melléklet'!G46)</f>
        <v>1759933</v>
      </c>
    </row>
    <row r="47" spans="1:7" s="80" customFormat="1" ht="13.5">
      <c r="A47" s="81" t="s">
        <v>190</v>
      </c>
      <c r="B47" s="77" t="s">
        <v>143</v>
      </c>
      <c r="C47" s="46">
        <f>SUM('3a.számú melléklet '!C47,'3b.számú melléklet'!C47,'3c.számú melléklet'!C47)</f>
        <v>7171759</v>
      </c>
      <c r="D47" s="46">
        <f>SUM('3a.számú melléklet '!D47,'3b.számú melléklet'!D47,'3c.számú melléklet'!D47)</f>
        <v>7932503</v>
      </c>
      <c r="E47" s="46">
        <f>SUM('3a.számú melléklet '!E47,'3b.számú melléklet'!E47,'3c.számú melléklet'!E47)</f>
        <v>7939942</v>
      </c>
      <c r="F47" s="46">
        <f>SUM('3a.számú melléklet '!F47,'3b.számú melléklet'!F47,'3c.számú melléklet'!F47)</f>
        <v>584681</v>
      </c>
      <c r="G47" s="46">
        <f>SUM('3a.számú melléklet '!G47,'3b.számú melléklet'!G47,'3c.számú melléklet'!G47)</f>
        <v>8524623</v>
      </c>
    </row>
    <row r="48" spans="1:7" ht="12.75">
      <c r="A48" s="30"/>
      <c r="B48" s="111" t="s">
        <v>66</v>
      </c>
      <c r="C48" s="71">
        <f>SUM('3a.számú melléklet '!C48,'3b.számú melléklet'!C48,'3c.számú melléklet'!C48)</f>
        <v>2527812</v>
      </c>
      <c r="D48" s="71">
        <f>SUM('3a.számú melléklet '!D48,'3b.számú melléklet'!D48,'3c.számú melléklet'!D48)</f>
        <v>2527812</v>
      </c>
      <c r="E48" s="71">
        <f>SUM('3a.számú melléklet '!E48,'3b.számú melléklet'!E48,'3c.számú melléklet'!E48)</f>
        <v>2512938</v>
      </c>
      <c r="F48" s="71">
        <f>SUM('3a.számú melléklet '!F48,'3b.számú melléklet'!F48,'3c.számú melléklet'!F48)</f>
        <v>-10518</v>
      </c>
      <c r="G48" s="71">
        <f>SUM('3a.számú melléklet '!G48,'3b.számú melléklet'!G48,'3c.számú melléklet'!G48)</f>
        <v>2502420</v>
      </c>
    </row>
    <row r="49" spans="1:7" ht="12.75">
      <c r="A49" s="30"/>
      <c r="B49" s="113" t="s">
        <v>231</v>
      </c>
      <c r="C49" s="71">
        <f>SUM('3a.számú melléklet '!C49,'3b.számú melléklet'!C49,'3c.számú melléklet'!C49)</f>
        <v>49470</v>
      </c>
      <c r="D49" s="71">
        <f>SUM('3a.számú melléklet '!D49,'3b.számú melléklet'!D49,'3c.számú melléklet'!D49)</f>
        <v>49470</v>
      </c>
      <c r="E49" s="71">
        <f>SUM('3a.számú melléklet '!E49,'3b.számú melléklet'!E49,'3c.számú melléklet'!E49)</f>
        <v>49470</v>
      </c>
      <c r="F49" s="71">
        <f>SUM('3a.számú melléklet '!F49,'3b.számú melléklet'!F49,'3c.számú melléklet'!F49)</f>
        <v>0</v>
      </c>
      <c r="G49" s="71">
        <f>SUM('3a.számú melléklet '!G49,'3b.számú melléklet'!G49,'3c.számú melléklet'!G49)</f>
        <v>49470</v>
      </c>
    </row>
    <row r="50" spans="1:7" s="80" customFormat="1" ht="13.5">
      <c r="A50" s="88"/>
      <c r="B50" s="89" t="s">
        <v>102</v>
      </c>
      <c r="C50" s="46">
        <f>SUM('3a.számú melléklet '!C50,'3b.számú melléklet'!C50,'3c.számú melléklet'!C50)</f>
        <v>8503292</v>
      </c>
      <c r="D50" s="46">
        <f>SUM('3a.számú melléklet '!D50,'3b.számú melléklet'!D50,'3c.számú melléklet'!D50)</f>
        <v>9683398</v>
      </c>
      <c r="E50" s="46">
        <f>SUM('3a.számú melléklet '!E50,'3b.számú melléklet'!E50,'3c.számú melléklet'!E50)</f>
        <v>9693297</v>
      </c>
      <c r="F50" s="46">
        <f>SUM('3a.számú melléklet '!F50,'3b.számú melléklet'!F50,'3c.számú melléklet'!F50)</f>
        <v>591259</v>
      </c>
      <c r="G50" s="46">
        <f>SUM('3a.számú melléklet '!G50,'3b.számú melléklet'!G50,'3c.számú melléklet'!G50)</f>
        <v>10284556</v>
      </c>
    </row>
  </sheetData>
  <sheetProtection password="CC08"/>
  <mergeCells count="4">
    <mergeCell ref="A1:G1"/>
    <mergeCell ref="A2:G2"/>
    <mergeCell ref="A3:G3"/>
    <mergeCell ref="A4:G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CE,Normál"3.számú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/>
  <dimension ref="A1:G50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4.00390625" style="4" customWidth="1"/>
    <col min="2" max="2" width="38.28125" style="6" customWidth="1"/>
    <col min="3" max="3" width="9.8515625" style="6" customWidth="1"/>
    <col min="4" max="4" width="12.140625" style="6" customWidth="1"/>
    <col min="5" max="5" width="11.8515625" style="6" customWidth="1"/>
    <col min="6" max="6" width="8.7109375" style="83" customWidth="1"/>
    <col min="7" max="7" width="11.8515625" style="5" customWidth="1"/>
    <col min="8" max="16384" width="8.8515625" style="1" customWidth="1"/>
  </cols>
  <sheetData>
    <row r="1" spans="1:7" ht="15.75">
      <c r="A1" s="850" t="s">
        <v>285</v>
      </c>
      <c r="B1" s="851"/>
      <c r="C1" s="851"/>
      <c r="D1" s="851"/>
      <c r="E1" s="851"/>
      <c r="F1" s="851"/>
      <c r="G1" s="851"/>
    </row>
    <row r="2" spans="1:7" ht="15.75">
      <c r="A2" s="852" t="s">
        <v>484</v>
      </c>
      <c r="B2" s="853"/>
      <c r="C2" s="853"/>
      <c r="D2" s="853"/>
      <c r="E2" s="853"/>
      <c r="F2" s="853"/>
      <c r="G2" s="853"/>
    </row>
    <row r="3" spans="1:7" ht="15.75">
      <c r="A3" s="840" t="s">
        <v>266</v>
      </c>
      <c r="B3" s="853"/>
      <c r="C3" s="853"/>
      <c r="D3" s="853"/>
      <c r="E3" s="853"/>
      <c r="F3" s="853"/>
      <c r="G3" s="853"/>
    </row>
    <row r="4" spans="1:7" ht="15.75">
      <c r="A4" s="841" t="s">
        <v>170</v>
      </c>
      <c r="B4" s="853"/>
      <c r="C4" s="853"/>
      <c r="D4" s="853"/>
      <c r="E4" s="853"/>
      <c r="F4" s="853"/>
      <c r="G4" s="853"/>
    </row>
    <row r="5" spans="1:7" s="699" customFormat="1" ht="15.75" customHeight="1">
      <c r="A5" s="695"/>
      <c r="B5" s="696"/>
      <c r="C5" s="696"/>
      <c r="D5" s="696"/>
      <c r="E5" s="696"/>
      <c r="F5" s="697"/>
      <c r="G5" s="698" t="s">
        <v>377</v>
      </c>
    </row>
    <row r="6" spans="1:7" s="701" customFormat="1" ht="39.75" customHeight="1">
      <c r="A6" s="700" t="s">
        <v>215</v>
      </c>
      <c r="B6" s="691" t="s">
        <v>378</v>
      </c>
      <c r="C6" s="557" t="s">
        <v>297</v>
      </c>
      <c r="D6" s="558" t="s">
        <v>570</v>
      </c>
      <c r="E6" s="558" t="s">
        <v>636</v>
      </c>
      <c r="F6" s="555" t="s">
        <v>572</v>
      </c>
      <c r="G6" s="558" t="s">
        <v>716</v>
      </c>
    </row>
    <row r="7" spans="1:7" s="701" customFormat="1" ht="12" customHeight="1">
      <c r="A7" s="691" t="s">
        <v>208</v>
      </c>
      <c r="B7" s="702" t="s">
        <v>209</v>
      </c>
      <c r="C7" s="702" t="s">
        <v>210</v>
      </c>
      <c r="D7" s="702" t="s">
        <v>182</v>
      </c>
      <c r="E7" s="702" t="s">
        <v>183</v>
      </c>
      <c r="F7" s="702" t="s">
        <v>184</v>
      </c>
      <c r="G7" s="702" t="s">
        <v>185</v>
      </c>
    </row>
    <row r="8" spans="1:7" s="2" customFormat="1" ht="12" customHeight="1">
      <c r="A8" s="26"/>
      <c r="B8" s="58" t="s">
        <v>192</v>
      </c>
      <c r="C8" s="84">
        <v>1579.5</v>
      </c>
      <c r="D8" s="84">
        <v>1579.5</v>
      </c>
      <c r="E8" s="84">
        <v>1568.5</v>
      </c>
      <c r="F8" s="84">
        <v>0</v>
      </c>
      <c r="G8" s="84">
        <f>SUM(E8:F8)</f>
        <v>1568.5</v>
      </c>
    </row>
    <row r="9" spans="1:7" s="10" customFormat="1" ht="12" customHeight="1">
      <c r="A9" s="24"/>
      <c r="B9" s="18" t="s">
        <v>166</v>
      </c>
      <c r="C9" s="82"/>
      <c r="D9" s="82"/>
      <c r="E9" s="82"/>
      <c r="F9" s="82"/>
      <c r="G9" s="82"/>
    </row>
    <row r="10" spans="1:7" s="3" customFormat="1" ht="12" customHeight="1">
      <c r="A10" s="27" t="s">
        <v>208</v>
      </c>
      <c r="B10" s="55" t="s">
        <v>167</v>
      </c>
      <c r="C10" s="68">
        <v>3618245</v>
      </c>
      <c r="D10" s="68">
        <v>3651417</v>
      </c>
      <c r="E10" s="68">
        <v>3660195</v>
      </c>
      <c r="F10" s="68">
        <v>117983</v>
      </c>
      <c r="G10" s="68">
        <f>SUM(E10:F10)</f>
        <v>3778178</v>
      </c>
    </row>
    <row r="11" spans="1:7" s="3" customFormat="1" ht="12" customHeight="1">
      <c r="A11" s="27" t="s">
        <v>209</v>
      </c>
      <c r="B11" s="56" t="s">
        <v>168</v>
      </c>
      <c r="C11" s="68">
        <f>SUM(C12:C15)</f>
        <v>1157627</v>
      </c>
      <c r="D11" s="68">
        <f>SUM(D12:D15)</f>
        <v>1169320</v>
      </c>
      <c r="E11" s="68">
        <f>SUM(E12:E15)</f>
        <v>1168840</v>
      </c>
      <c r="F11" s="68">
        <f>SUM(F12:F15)</f>
        <v>37824</v>
      </c>
      <c r="G11" s="68">
        <f aca="true" t="shared" si="0" ref="G11:G50">SUM(E11:F11)</f>
        <v>1206664</v>
      </c>
    </row>
    <row r="12" spans="1:7" s="3" customFormat="1" ht="12" customHeight="1">
      <c r="A12" s="27"/>
      <c r="B12" s="53" t="s">
        <v>308</v>
      </c>
      <c r="C12" s="68">
        <v>1004844</v>
      </c>
      <c r="D12" s="68">
        <v>1012847</v>
      </c>
      <c r="E12" s="68">
        <v>1012412</v>
      </c>
      <c r="F12" s="68">
        <v>34310</v>
      </c>
      <c r="G12" s="68">
        <f t="shared" si="0"/>
        <v>1046722</v>
      </c>
    </row>
    <row r="13" spans="1:7" s="3" customFormat="1" ht="12" customHeight="1">
      <c r="A13" s="27"/>
      <c r="B13" s="53" t="s">
        <v>67</v>
      </c>
      <c r="C13" s="68">
        <v>103938</v>
      </c>
      <c r="D13" s="68">
        <v>104612</v>
      </c>
      <c r="E13" s="68">
        <v>104567</v>
      </c>
      <c r="F13" s="68">
        <v>3550</v>
      </c>
      <c r="G13" s="68">
        <f t="shared" si="0"/>
        <v>108117</v>
      </c>
    </row>
    <row r="14" spans="1:7" s="3" customFormat="1" ht="12" customHeight="1">
      <c r="A14" s="27"/>
      <c r="B14" s="53" t="s">
        <v>68</v>
      </c>
      <c r="C14" s="68">
        <v>36962</v>
      </c>
      <c r="D14" s="68">
        <v>39978</v>
      </c>
      <c r="E14" s="68">
        <v>39978</v>
      </c>
      <c r="F14" s="68">
        <v>-36</v>
      </c>
      <c r="G14" s="68">
        <f t="shared" si="0"/>
        <v>39942</v>
      </c>
    </row>
    <row r="15" spans="1:7" s="3" customFormat="1" ht="12" customHeight="1">
      <c r="A15" s="27"/>
      <c r="B15" s="53" t="s">
        <v>307</v>
      </c>
      <c r="C15" s="68">
        <v>11883</v>
      </c>
      <c r="D15" s="68">
        <v>11883</v>
      </c>
      <c r="E15" s="68">
        <v>11883</v>
      </c>
      <c r="F15" s="68">
        <v>0</v>
      </c>
      <c r="G15" s="68">
        <f t="shared" si="0"/>
        <v>11883</v>
      </c>
    </row>
    <row r="16" spans="1:7" s="3" customFormat="1" ht="12" customHeight="1">
      <c r="A16" s="27" t="s">
        <v>210</v>
      </c>
      <c r="B16" s="55" t="s">
        <v>169</v>
      </c>
      <c r="C16" s="68">
        <v>1571321</v>
      </c>
      <c r="D16" s="68">
        <v>1621625</v>
      </c>
      <c r="E16" s="68">
        <v>1630591</v>
      </c>
      <c r="F16" s="68">
        <v>54750</v>
      </c>
      <c r="G16" s="68">
        <f t="shared" si="0"/>
        <v>1685341</v>
      </c>
    </row>
    <row r="17" spans="1:7" s="2" customFormat="1" ht="24" customHeight="1">
      <c r="A17" s="91" t="s">
        <v>182</v>
      </c>
      <c r="B17" s="92" t="s">
        <v>64</v>
      </c>
      <c r="C17" s="60">
        <f>SUM(C18,C20)</f>
        <v>0</v>
      </c>
      <c r="D17" s="60">
        <f>SUM(D18,D20)</f>
        <v>109231</v>
      </c>
      <c r="E17" s="60">
        <f>SUM(E18,E20)</f>
        <v>109231</v>
      </c>
      <c r="F17" s="60">
        <f>SUM(F18,F20)</f>
        <v>0</v>
      </c>
      <c r="G17" s="93">
        <f t="shared" si="0"/>
        <v>109231</v>
      </c>
    </row>
    <row r="18" spans="1:7" s="3" customFormat="1" ht="12" customHeight="1">
      <c r="A18" s="96"/>
      <c r="B18" s="136" t="s">
        <v>60</v>
      </c>
      <c r="C18" s="69">
        <v>0</v>
      </c>
      <c r="D18" s="127">
        <v>109231</v>
      </c>
      <c r="E18" s="127">
        <v>109231</v>
      </c>
      <c r="F18" s="127">
        <v>0</v>
      </c>
      <c r="G18" s="69">
        <f t="shared" si="0"/>
        <v>109231</v>
      </c>
    </row>
    <row r="19" spans="1:7" s="3" customFormat="1" ht="12" customHeight="1">
      <c r="A19" s="94"/>
      <c r="B19" s="134" t="s">
        <v>288</v>
      </c>
      <c r="C19" s="70">
        <v>0</v>
      </c>
      <c r="D19" s="128">
        <v>109231</v>
      </c>
      <c r="E19" s="128">
        <v>109231</v>
      </c>
      <c r="F19" s="128">
        <v>0</v>
      </c>
      <c r="G19" s="70">
        <f t="shared" si="0"/>
        <v>109231</v>
      </c>
    </row>
    <row r="20" spans="1:7" s="3" customFormat="1" ht="24" customHeight="1">
      <c r="A20" s="94"/>
      <c r="B20" s="95" t="s">
        <v>470</v>
      </c>
      <c r="C20" s="68">
        <v>0</v>
      </c>
      <c r="D20" s="68">
        <v>0</v>
      </c>
      <c r="E20" s="68">
        <v>0</v>
      </c>
      <c r="F20" s="68">
        <v>0</v>
      </c>
      <c r="G20" s="70">
        <f t="shared" si="0"/>
        <v>0</v>
      </c>
    </row>
    <row r="21" spans="1:7" s="3" customFormat="1" ht="12" customHeight="1">
      <c r="A21" s="27" t="s">
        <v>183</v>
      </c>
      <c r="B21" s="55" t="s">
        <v>250</v>
      </c>
      <c r="C21" s="68">
        <v>330</v>
      </c>
      <c r="D21" s="68">
        <v>330</v>
      </c>
      <c r="E21" s="68">
        <v>330</v>
      </c>
      <c r="F21" s="68">
        <v>0</v>
      </c>
      <c r="G21" s="68">
        <f t="shared" si="0"/>
        <v>330</v>
      </c>
    </row>
    <row r="22" spans="1:7" s="3" customFormat="1" ht="12" customHeight="1">
      <c r="A22" s="27" t="s">
        <v>184</v>
      </c>
      <c r="B22" s="55" t="s">
        <v>384</v>
      </c>
      <c r="C22" s="68">
        <v>0</v>
      </c>
      <c r="D22" s="68">
        <v>220</v>
      </c>
      <c r="E22" s="68">
        <v>580</v>
      </c>
      <c r="F22" s="68">
        <v>0</v>
      </c>
      <c r="G22" s="68">
        <f t="shared" si="0"/>
        <v>580</v>
      </c>
    </row>
    <row r="23" spans="1:7" s="21" customFormat="1" ht="13.5">
      <c r="A23" s="24" t="s">
        <v>80</v>
      </c>
      <c r="B23" s="11" t="s">
        <v>309</v>
      </c>
      <c r="C23" s="90">
        <f>SUM(C10,C11,C16,C17,C21,C22)</f>
        <v>6347523</v>
      </c>
      <c r="D23" s="90">
        <f>SUM(D10,D11,D16,D17,D21,D22)</f>
        <v>6552143</v>
      </c>
      <c r="E23" s="90">
        <f>SUM(E10,E11,E16,E17,E21,E22)</f>
        <v>6569767</v>
      </c>
      <c r="F23" s="90">
        <f>SUM(F10,F11,F16,F17,F21,F22)</f>
        <v>210557</v>
      </c>
      <c r="G23" s="67">
        <f t="shared" si="0"/>
        <v>6780324</v>
      </c>
    </row>
    <row r="24" spans="1:7" s="3" customFormat="1" ht="12" customHeight="1">
      <c r="A24" s="27" t="s">
        <v>185</v>
      </c>
      <c r="B24" s="55" t="s">
        <v>69</v>
      </c>
      <c r="C24" s="68">
        <v>6000</v>
      </c>
      <c r="D24" s="68">
        <v>482273</v>
      </c>
      <c r="E24" s="68">
        <v>470450</v>
      </c>
      <c r="F24" s="68">
        <v>272118</v>
      </c>
      <c r="G24" s="68">
        <f t="shared" si="0"/>
        <v>742568</v>
      </c>
    </row>
    <row r="25" spans="1:7" s="3" customFormat="1" ht="12" customHeight="1">
      <c r="A25" s="27" t="s">
        <v>186</v>
      </c>
      <c r="B25" s="55" t="s">
        <v>72</v>
      </c>
      <c r="C25" s="68">
        <v>9000</v>
      </c>
      <c r="D25" s="68">
        <v>20613</v>
      </c>
      <c r="E25" s="68">
        <v>25226</v>
      </c>
      <c r="F25" s="68">
        <v>15665</v>
      </c>
      <c r="G25" s="68">
        <f t="shared" si="0"/>
        <v>40891</v>
      </c>
    </row>
    <row r="26" spans="1:7" s="2" customFormat="1" ht="24.75" customHeight="1">
      <c r="A26" s="26" t="s">
        <v>187</v>
      </c>
      <c r="B26" s="59" t="s">
        <v>65</v>
      </c>
      <c r="C26" s="60">
        <f>SUM(C27,C29)</f>
        <v>0</v>
      </c>
      <c r="D26" s="60">
        <f>SUM(D27,D29)</f>
        <v>22484</v>
      </c>
      <c r="E26" s="60">
        <f>SUM(E27,E29)</f>
        <v>22484</v>
      </c>
      <c r="F26" s="60">
        <f>SUM(F27,F29)</f>
        <v>0</v>
      </c>
      <c r="G26" s="93">
        <f t="shared" si="0"/>
        <v>22484</v>
      </c>
    </row>
    <row r="27" spans="1:7" s="16" customFormat="1" ht="15" customHeight="1">
      <c r="A27" s="61"/>
      <c r="B27" s="136" t="s">
        <v>471</v>
      </c>
      <c r="C27" s="69">
        <v>0</v>
      </c>
      <c r="D27" s="127">
        <v>22484</v>
      </c>
      <c r="E27" s="127">
        <v>22484</v>
      </c>
      <c r="F27" s="127">
        <v>0</v>
      </c>
      <c r="G27" s="69">
        <f t="shared" si="0"/>
        <v>22484</v>
      </c>
    </row>
    <row r="28" spans="1:7" s="16" customFormat="1" ht="12" customHeight="1">
      <c r="A28" s="62"/>
      <c r="B28" s="134" t="s">
        <v>288</v>
      </c>
      <c r="C28" s="70">
        <v>0</v>
      </c>
      <c r="D28" s="128">
        <v>22484</v>
      </c>
      <c r="E28" s="128">
        <v>22484</v>
      </c>
      <c r="F28" s="128">
        <v>0</v>
      </c>
      <c r="G28" s="70">
        <f t="shared" si="0"/>
        <v>22484</v>
      </c>
    </row>
    <row r="29" spans="1:7" s="16" customFormat="1" ht="24" customHeight="1">
      <c r="A29" s="62"/>
      <c r="B29" s="95" t="s">
        <v>472</v>
      </c>
      <c r="C29" s="68">
        <v>0</v>
      </c>
      <c r="D29" s="68">
        <v>0</v>
      </c>
      <c r="E29" s="68">
        <v>0</v>
      </c>
      <c r="F29" s="68">
        <v>0</v>
      </c>
      <c r="G29" s="70">
        <f t="shared" si="0"/>
        <v>0</v>
      </c>
    </row>
    <row r="30" spans="1:7" s="10" customFormat="1" ht="12" customHeight="1">
      <c r="A30" s="24" t="s">
        <v>329</v>
      </c>
      <c r="B30" s="11" t="s">
        <v>310</v>
      </c>
      <c r="C30" s="67">
        <f>SUM(C24,C25,C26)</f>
        <v>15000</v>
      </c>
      <c r="D30" s="67">
        <f>SUM(D24,D25,D26)</f>
        <v>525370</v>
      </c>
      <c r="E30" s="67">
        <f>SUM(E24,E25,E26)</f>
        <v>518160</v>
      </c>
      <c r="F30" s="67">
        <f>SUM(F24,F25,F26)</f>
        <v>287783</v>
      </c>
      <c r="G30" s="67">
        <f t="shared" si="0"/>
        <v>805943</v>
      </c>
    </row>
    <row r="31" spans="1:7" s="78" customFormat="1" ht="13.5" customHeight="1">
      <c r="A31" s="26"/>
      <c r="B31" s="77" t="s">
        <v>128</v>
      </c>
      <c r="C31" s="67">
        <f>SUM(C23,C24:C26)</f>
        <v>6362523</v>
      </c>
      <c r="D31" s="67">
        <f>SUM(D23,D24:D26)</f>
        <v>7077513</v>
      </c>
      <c r="E31" s="67">
        <f>SUM(E23,E24:E26)</f>
        <v>7087927</v>
      </c>
      <c r="F31" s="67">
        <f>SUM(F23,F24:F26)</f>
        <v>498340</v>
      </c>
      <c r="G31" s="67">
        <f t="shared" si="0"/>
        <v>7586267</v>
      </c>
    </row>
    <row r="32" spans="1:7" s="10" customFormat="1" ht="12" customHeight="1">
      <c r="A32" s="24"/>
      <c r="B32" s="13" t="s">
        <v>311</v>
      </c>
      <c r="C32" s="68"/>
      <c r="D32" s="68"/>
      <c r="E32" s="68"/>
      <c r="F32" s="68"/>
      <c r="G32" s="68"/>
    </row>
    <row r="33" spans="1:7" s="10" customFormat="1" ht="12" customHeight="1">
      <c r="A33" s="23" t="s">
        <v>208</v>
      </c>
      <c r="B33" s="22" t="s">
        <v>234</v>
      </c>
      <c r="C33" s="68">
        <v>0</v>
      </c>
      <c r="D33" s="68">
        <v>0</v>
      </c>
      <c r="E33" s="68">
        <v>0</v>
      </c>
      <c r="F33" s="68">
        <v>0</v>
      </c>
      <c r="G33" s="68">
        <f t="shared" si="0"/>
        <v>0</v>
      </c>
    </row>
    <row r="34" spans="1:7" s="10" customFormat="1" ht="24" customHeight="1">
      <c r="A34" s="61" t="s">
        <v>209</v>
      </c>
      <c r="B34" s="137" t="s">
        <v>414</v>
      </c>
      <c r="C34" s="69">
        <v>346247</v>
      </c>
      <c r="D34" s="127">
        <v>352104</v>
      </c>
      <c r="E34" s="127">
        <v>353040</v>
      </c>
      <c r="F34" s="127">
        <v>6578</v>
      </c>
      <c r="G34" s="68">
        <f t="shared" si="0"/>
        <v>359618</v>
      </c>
    </row>
    <row r="35" spans="1:7" s="10" customFormat="1" ht="12" customHeight="1">
      <c r="A35" s="23" t="s">
        <v>210</v>
      </c>
      <c r="B35" s="12" t="s">
        <v>181</v>
      </c>
      <c r="C35" s="68">
        <v>5591</v>
      </c>
      <c r="D35" s="68">
        <v>5591</v>
      </c>
      <c r="E35" s="68">
        <v>5591</v>
      </c>
      <c r="F35" s="68">
        <v>0</v>
      </c>
      <c r="G35" s="68">
        <f t="shared" si="0"/>
        <v>5591</v>
      </c>
    </row>
    <row r="36" spans="1:7" s="10" customFormat="1" ht="12" customHeight="1">
      <c r="A36" s="23" t="s">
        <v>182</v>
      </c>
      <c r="B36" s="55" t="s">
        <v>111</v>
      </c>
      <c r="C36" s="68">
        <v>117</v>
      </c>
      <c r="D36" s="68">
        <v>117</v>
      </c>
      <c r="E36" s="68">
        <v>117</v>
      </c>
      <c r="F36" s="68">
        <v>0</v>
      </c>
      <c r="G36" s="68">
        <f t="shared" si="0"/>
        <v>117</v>
      </c>
    </row>
    <row r="37" spans="1:7" s="10" customFormat="1" ht="12" customHeight="1">
      <c r="A37" s="61" t="s">
        <v>183</v>
      </c>
      <c r="B37" s="55" t="s">
        <v>141</v>
      </c>
      <c r="C37" s="68">
        <v>56812</v>
      </c>
      <c r="D37" s="68">
        <v>56812</v>
      </c>
      <c r="E37" s="68">
        <v>56812</v>
      </c>
      <c r="F37" s="68">
        <v>0</v>
      </c>
      <c r="G37" s="69">
        <f t="shared" si="0"/>
        <v>56812</v>
      </c>
    </row>
    <row r="38" spans="1:7" s="10" customFormat="1" ht="25.5" customHeight="1">
      <c r="A38" s="61" t="s">
        <v>184</v>
      </c>
      <c r="B38" s="133" t="s">
        <v>62</v>
      </c>
      <c r="C38" s="69">
        <v>0</v>
      </c>
      <c r="D38" s="127">
        <v>256</v>
      </c>
      <c r="E38" s="127">
        <v>922</v>
      </c>
      <c r="F38" s="127">
        <v>0</v>
      </c>
      <c r="G38" s="69">
        <f t="shared" si="0"/>
        <v>922</v>
      </c>
    </row>
    <row r="39" spans="1:7" s="10" customFormat="1" ht="12" customHeight="1">
      <c r="A39" s="62"/>
      <c r="B39" s="134" t="s">
        <v>288</v>
      </c>
      <c r="C39" s="70">
        <v>0</v>
      </c>
      <c r="D39" s="128">
        <v>0</v>
      </c>
      <c r="E39" s="128">
        <v>0</v>
      </c>
      <c r="F39" s="128">
        <v>0</v>
      </c>
      <c r="G39" s="70">
        <f t="shared" si="0"/>
        <v>0</v>
      </c>
    </row>
    <row r="40" spans="1:7" s="10" customFormat="1" ht="24" customHeight="1">
      <c r="A40" s="62" t="s">
        <v>185</v>
      </c>
      <c r="B40" s="97" t="s">
        <v>119</v>
      </c>
      <c r="C40" s="69">
        <v>0</v>
      </c>
      <c r="D40" s="69">
        <v>2216</v>
      </c>
      <c r="E40" s="69">
        <v>2757</v>
      </c>
      <c r="F40" s="69">
        <v>0</v>
      </c>
      <c r="G40" s="199">
        <f t="shared" si="0"/>
        <v>2757</v>
      </c>
    </row>
    <row r="41" spans="1:7" s="10" customFormat="1" ht="12" customHeight="1">
      <c r="A41" s="61" t="s">
        <v>186</v>
      </c>
      <c r="B41" s="133" t="s">
        <v>63</v>
      </c>
      <c r="C41" s="69">
        <v>0</v>
      </c>
      <c r="D41" s="127">
        <v>0</v>
      </c>
      <c r="E41" s="127">
        <v>0</v>
      </c>
      <c r="F41" s="127">
        <v>0</v>
      </c>
      <c r="G41" s="69">
        <f t="shared" si="0"/>
        <v>0</v>
      </c>
    </row>
    <row r="42" spans="1:7" s="10" customFormat="1" ht="12" customHeight="1">
      <c r="A42" s="62"/>
      <c r="B42" s="134" t="s">
        <v>288</v>
      </c>
      <c r="C42" s="70">
        <v>0</v>
      </c>
      <c r="D42" s="128">
        <v>0</v>
      </c>
      <c r="E42" s="128">
        <v>0</v>
      </c>
      <c r="F42" s="128">
        <v>0</v>
      </c>
      <c r="G42" s="70">
        <f t="shared" si="0"/>
        <v>0</v>
      </c>
    </row>
    <row r="43" spans="1:7" s="10" customFormat="1" ht="24" customHeight="1">
      <c r="A43" s="23" t="s">
        <v>187</v>
      </c>
      <c r="B43" s="54" t="s">
        <v>481</v>
      </c>
      <c r="C43" s="70">
        <v>0</v>
      </c>
      <c r="D43" s="70">
        <v>1241</v>
      </c>
      <c r="E43" s="70">
        <v>1241</v>
      </c>
      <c r="F43" s="70">
        <v>0</v>
      </c>
      <c r="G43" s="70">
        <f t="shared" si="0"/>
        <v>1241</v>
      </c>
    </row>
    <row r="44" spans="1:7" s="10" customFormat="1" ht="12" customHeight="1">
      <c r="A44" s="23" t="s">
        <v>188</v>
      </c>
      <c r="B44" s="12" t="s">
        <v>303</v>
      </c>
      <c r="C44" s="68">
        <v>0</v>
      </c>
      <c r="D44" s="68">
        <v>0</v>
      </c>
      <c r="E44" s="68">
        <v>0</v>
      </c>
      <c r="F44" s="68">
        <v>0</v>
      </c>
      <c r="G44" s="68">
        <f t="shared" si="0"/>
        <v>0</v>
      </c>
    </row>
    <row r="45" spans="1:7" s="10" customFormat="1" ht="12" customHeight="1">
      <c r="A45" s="23" t="s">
        <v>189</v>
      </c>
      <c r="B45" s="12" t="s">
        <v>304</v>
      </c>
      <c r="C45" s="68">
        <v>0</v>
      </c>
      <c r="D45" s="68">
        <v>243186</v>
      </c>
      <c r="E45" s="68">
        <v>243186</v>
      </c>
      <c r="F45" s="68">
        <v>0</v>
      </c>
      <c r="G45" s="68">
        <f t="shared" si="0"/>
        <v>243186</v>
      </c>
    </row>
    <row r="46" spans="1:7" s="78" customFormat="1" ht="12" customHeight="1">
      <c r="A46" s="76"/>
      <c r="B46" s="77" t="s">
        <v>272</v>
      </c>
      <c r="C46" s="67">
        <f>SUM(C33:C45)-C39-C42</f>
        <v>408767</v>
      </c>
      <c r="D46" s="67">
        <f>SUM(D33:D45)-D39-D42</f>
        <v>661523</v>
      </c>
      <c r="E46" s="67">
        <f>SUM(E33:E45)-E39-E42</f>
        <v>663666</v>
      </c>
      <c r="F46" s="67">
        <f>SUM(F33:F45)-F39-F42</f>
        <v>6578</v>
      </c>
      <c r="G46" s="67">
        <f t="shared" si="0"/>
        <v>670244</v>
      </c>
    </row>
    <row r="47" spans="1:7" s="80" customFormat="1" ht="13.5">
      <c r="A47" s="79" t="s">
        <v>190</v>
      </c>
      <c r="B47" s="77" t="s">
        <v>143</v>
      </c>
      <c r="C47" s="67">
        <v>5953756</v>
      </c>
      <c r="D47" s="67">
        <v>6415990</v>
      </c>
      <c r="E47" s="67">
        <v>6424261</v>
      </c>
      <c r="F47" s="67">
        <v>491762</v>
      </c>
      <c r="G47" s="67">
        <f t="shared" si="0"/>
        <v>6916023</v>
      </c>
    </row>
    <row r="48" spans="1:7" s="75" customFormat="1" ht="12" customHeight="1">
      <c r="A48" s="30"/>
      <c r="B48" s="86" t="s">
        <v>66</v>
      </c>
      <c r="C48" s="57">
        <v>2226863</v>
      </c>
      <c r="D48" s="57">
        <v>2226863</v>
      </c>
      <c r="E48" s="57">
        <v>2226863</v>
      </c>
      <c r="F48" s="57">
        <v>0</v>
      </c>
      <c r="G48" s="68">
        <f t="shared" si="0"/>
        <v>2226863</v>
      </c>
    </row>
    <row r="49" spans="1:7" s="75" customFormat="1" ht="12.75" customHeight="1">
      <c r="A49" s="30"/>
      <c r="B49" s="87" t="s">
        <v>126</v>
      </c>
      <c r="C49" s="57">
        <v>49470</v>
      </c>
      <c r="D49" s="57">
        <v>49470</v>
      </c>
      <c r="E49" s="57">
        <v>49470</v>
      </c>
      <c r="F49" s="57">
        <v>0</v>
      </c>
      <c r="G49" s="68">
        <f t="shared" si="0"/>
        <v>49470</v>
      </c>
    </row>
    <row r="50" spans="1:7" s="80" customFormat="1" ht="13.5" customHeight="1">
      <c r="A50" s="88"/>
      <c r="B50" s="89" t="s">
        <v>102</v>
      </c>
      <c r="C50" s="90">
        <f>SUM(C46:C47)</f>
        <v>6362523</v>
      </c>
      <c r="D50" s="90">
        <f>SUM(D46:D47)</f>
        <v>7077513</v>
      </c>
      <c r="E50" s="90">
        <f>SUM(E46:E47)</f>
        <v>7087927</v>
      </c>
      <c r="F50" s="90">
        <f>SUM(F46:F47)</f>
        <v>498340</v>
      </c>
      <c r="G50" s="67">
        <f t="shared" si="0"/>
        <v>7586267</v>
      </c>
    </row>
  </sheetData>
  <sheetProtection password="CC08"/>
  <mergeCells count="4">
    <mergeCell ref="A1:G1"/>
    <mergeCell ref="A2:G2"/>
    <mergeCell ref="A3:G3"/>
    <mergeCell ref="A4:G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CE,Normál"3/a. számú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/>
  <dimension ref="A1:G50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4.140625" style="4" customWidth="1"/>
    <col min="2" max="2" width="38.57421875" style="6" customWidth="1"/>
    <col min="3" max="3" width="9.8515625" style="6" customWidth="1"/>
    <col min="4" max="4" width="13.00390625" style="6" customWidth="1"/>
    <col min="5" max="5" width="11.8515625" style="6" customWidth="1"/>
    <col min="6" max="6" width="9.8515625" style="83" customWidth="1"/>
    <col min="7" max="7" width="11.8515625" style="5" customWidth="1"/>
    <col min="8" max="16384" width="8.8515625" style="1" customWidth="1"/>
  </cols>
  <sheetData>
    <row r="1" spans="1:7" ht="15.75">
      <c r="A1" s="850" t="s">
        <v>285</v>
      </c>
      <c r="B1" s="851"/>
      <c r="C1" s="851"/>
      <c r="D1" s="851"/>
      <c r="E1" s="851"/>
      <c r="F1" s="851"/>
      <c r="G1" s="851"/>
    </row>
    <row r="2" spans="1:7" ht="15.75">
      <c r="A2" s="852" t="s">
        <v>484</v>
      </c>
      <c r="B2" s="853"/>
      <c r="C2" s="853"/>
      <c r="D2" s="853"/>
      <c r="E2" s="853"/>
      <c r="F2" s="853"/>
      <c r="G2" s="853"/>
    </row>
    <row r="3" spans="1:7" ht="15.75">
      <c r="A3" s="840" t="s">
        <v>266</v>
      </c>
      <c r="B3" s="853"/>
      <c r="C3" s="853"/>
      <c r="D3" s="853"/>
      <c r="E3" s="853"/>
      <c r="F3" s="853"/>
      <c r="G3" s="853"/>
    </row>
    <row r="4" spans="1:7" ht="15.75">
      <c r="A4" s="841" t="s">
        <v>204</v>
      </c>
      <c r="B4" s="853"/>
      <c r="C4" s="853"/>
      <c r="D4" s="853"/>
      <c r="E4" s="853"/>
      <c r="F4" s="853"/>
      <c r="G4" s="853"/>
    </row>
    <row r="5" spans="1:7" s="699" customFormat="1" ht="15.75" customHeight="1">
      <c r="A5" s="695"/>
      <c r="B5" s="696"/>
      <c r="C5" s="696"/>
      <c r="D5" s="696"/>
      <c r="E5" s="696"/>
      <c r="F5" s="697"/>
      <c r="G5" s="698" t="s">
        <v>377</v>
      </c>
    </row>
    <row r="6" spans="1:7" s="701" customFormat="1" ht="39.75" customHeight="1">
      <c r="A6" s="700" t="s">
        <v>215</v>
      </c>
      <c r="B6" s="691" t="s">
        <v>378</v>
      </c>
      <c r="C6" s="557" t="s">
        <v>297</v>
      </c>
      <c r="D6" s="558" t="s">
        <v>570</v>
      </c>
      <c r="E6" s="558" t="s">
        <v>636</v>
      </c>
      <c r="F6" s="555" t="s">
        <v>572</v>
      </c>
      <c r="G6" s="558" t="s">
        <v>716</v>
      </c>
    </row>
    <row r="7" spans="1:7" s="701" customFormat="1" ht="12" customHeight="1">
      <c r="A7" s="691" t="s">
        <v>208</v>
      </c>
      <c r="B7" s="702" t="s">
        <v>209</v>
      </c>
      <c r="C7" s="702" t="s">
        <v>210</v>
      </c>
      <c r="D7" s="702" t="s">
        <v>182</v>
      </c>
      <c r="E7" s="702" t="s">
        <v>183</v>
      </c>
      <c r="F7" s="702" t="s">
        <v>184</v>
      </c>
      <c r="G7" s="702" t="s">
        <v>185</v>
      </c>
    </row>
    <row r="8" spans="1:7" s="2" customFormat="1" ht="12" customHeight="1">
      <c r="A8" s="26"/>
      <c r="B8" s="58" t="s">
        <v>192</v>
      </c>
      <c r="C8" s="84">
        <v>155.5</v>
      </c>
      <c r="D8" s="84">
        <v>155.5</v>
      </c>
      <c r="E8" s="84">
        <v>160.5</v>
      </c>
      <c r="F8" s="84">
        <v>0</v>
      </c>
      <c r="G8" s="84">
        <f>SUM(E8:F8)</f>
        <v>160.5</v>
      </c>
    </row>
    <row r="9" spans="1:7" s="78" customFormat="1" ht="12" customHeight="1">
      <c r="A9" s="76"/>
      <c r="B9" s="77" t="s">
        <v>166</v>
      </c>
      <c r="C9" s="82"/>
      <c r="D9" s="82"/>
      <c r="E9" s="82"/>
      <c r="F9" s="82"/>
      <c r="G9" s="82"/>
    </row>
    <row r="10" spans="1:7" s="3" customFormat="1" ht="12" customHeight="1">
      <c r="A10" s="27" t="s">
        <v>208</v>
      </c>
      <c r="B10" s="55" t="s">
        <v>167</v>
      </c>
      <c r="C10" s="68">
        <v>326851</v>
      </c>
      <c r="D10" s="68">
        <v>332200</v>
      </c>
      <c r="E10" s="68">
        <v>328637</v>
      </c>
      <c r="F10" s="68">
        <v>9830</v>
      </c>
      <c r="G10" s="68">
        <f>SUM(E10:F10)</f>
        <v>338467</v>
      </c>
    </row>
    <row r="11" spans="1:7" s="3" customFormat="1" ht="12" customHeight="1">
      <c r="A11" s="27" t="s">
        <v>209</v>
      </c>
      <c r="B11" s="56" t="s">
        <v>168</v>
      </c>
      <c r="C11" s="68">
        <f>SUM(C12:C15)</f>
        <v>105126</v>
      </c>
      <c r="D11" s="68">
        <f>SUM(D12:D15)</f>
        <v>106782</v>
      </c>
      <c r="E11" s="68">
        <f>SUM(E12:E15)</f>
        <v>105472</v>
      </c>
      <c r="F11" s="68">
        <f>SUM(F12:F15)</f>
        <v>3145</v>
      </c>
      <c r="G11" s="68">
        <f aca="true" t="shared" si="0" ref="G11:G50">SUM(E11:F11)</f>
        <v>108617</v>
      </c>
    </row>
    <row r="12" spans="1:7" s="3" customFormat="1" ht="12" customHeight="1">
      <c r="A12" s="27"/>
      <c r="B12" s="53" t="s">
        <v>308</v>
      </c>
      <c r="C12" s="68">
        <v>91003</v>
      </c>
      <c r="D12" s="68">
        <v>92208</v>
      </c>
      <c r="E12" s="68">
        <v>90986</v>
      </c>
      <c r="F12" s="68">
        <v>2851</v>
      </c>
      <c r="G12" s="68">
        <f t="shared" si="0"/>
        <v>93837</v>
      </c>
    </row>
    <row r="13" spans="1:7" s="3" customFormat="1" ht="12" customHeight="1">
      <c r="A13" s="27"/>
      <c r="B13" s="53" t="s">
        <v>67</v>
      </c>
      <c r="C13" s="68">
        <v>9235</v>
      </c>
      <c r="D13" s="68">
        <v>9350</v>
      </c>
      <c r="E13" s="68">
        <v>9262</v>
      </c>
      <c r="F13" s="68">
        <v>294</v>
      </c>
      <c r="G13" s="68">
        <f t="shared" si="0"/>
        <v>9556</v>
      </c>
    </row>
    <row r="14" spans="1:7" s="3" customFormat="1" ht="12" customHeight="1">
      <c r="A14" s="27"/>
      <c r="B14" s="53" t="s">
        <v>68</v>
      </c>
      <c r="C14" s="68">
        <v>3668</v>
      </c>
      <c r="D14" s="68">
        <v>4004</v>
      </c>
      <c r="E14" s="68">
        <v>4004</v>
      </c>
      <c r="F14" s="68">
        <v>0</v>
      </c>
      <c r="G14" s="68">
        <f t="shared" si="0"/>
        <v>4004</v>
      </c>
    </row>
    <row r="15" spans="1:7" s="3" customFormat="1" ht="12" customHeight="1">
      <c r="A15" s="27"/>
      <c r="B15" s="53" t="s">
        <v>307</v>
      </c>
      <c r="C15" s="68">
        <v>1220</v>
      </c>
      <c r="D15" s="68">
        <v>1220</v>
      </c>
      <c r="E15" s="68">
        <v>1220</v>
      </c>
      <c r="F15" s="68">
        <v>0</v>
      </c>
      <c r="G15" s="68">
        <f t="shared" si="0"/>
        <v>1220</v>
      </c>
    </row>
    <row r="16" spans="1:7" s="3" customFormat="1" ht="12" customHeight="1">
      <c r="A16" s="27" t="s">
        <v>210</v>
      </c>
      <c r="B16" s="55" t="s">
        <v>169</v>
      </c>
      <c r="C16" s="68">
        <v>130627</v>
      </c>
      <c r="D16" s="68">
        <v>138079</v>
      </c>
      <c r="E16" s="68">
        <v>147723</v>
      </c>
      <c r="F16" s="68">
        <v>4583</v>
      </c>
      <c r="G16" s="68">
        <f t="shared" si="0"/>
        <v>152306</v>
      </c>
    </row>
    <row r="17" spans="1:7" s="2" customFormat="1" ht="24" customHeight="1">
      <c r="A17" s="26" t="s">
        <v>182</v>
      </c>
      <c r="B17" s="59" t="s">
        <v>64</v>
      </c>
      <c r="C17" s="60">
        <f>SUM(C18,C20)</f>
        <v>0</v>
      </c>
      <c r="D17" s="60">
        <f>SUM(D18,D20)</f>
        <v>6741</v>
      </c>
      <c r="E17" s="60">
        <f>SUM(E18,E20)</f>
        <v>6741</v>
      </c>
      <c r="F17" s="60">
        <f>SUM(F18,F20)</f>
        <v>0</v>
      </c>
      <c r="G17" s="93">
        <f t="shared" si="0"/>
        <v>6741</v>
      </c>
    </row>
    <row r="18" spans="1:7" s="3" customFormat="1" ht="12" customHeight="1">
      <c r="A18" s="96"/>
      <c r="B18" s="103" t="s">
        <v>60</v>
      </c>
      <c r="C18" s="69">
        <v>0</v>
      </c>
      <c r="D18" s="127">
        <v>6741</v>
      </c>
      <c r="E18" s="127">
        <v>6741</v>
      </c>
      <c r="F18" s="127">
        <v>0</v>
      </c>
      <c r="G18" s="69">
        <f t="shared" si="0"/>
        <v>6741</v>
      </c>
    </row>
    <row r="19" spans="1:7" s="3" customFormat="1" ht="12" customHeight="1">
      <c r="A19" s="94"/>
      <c r="B19" s="104" t="s">
        <v>288</v>
      </c>
      <c r="C19" s="70">
        <v>0</v>
      </c>
      <c r="D19" s="128">
        <v>6741</v>
      </c>
      <c r="E19" s="128">
        <v>6741</v>
      </c>
      <c r="F19" s="128">
        <v>0</v>
      </c>
      <c r="G19" s="70">
        <f t="shared" si="0"/>
        <v>6741</v>
      </c>
    </row>
    <row r="20" spans="1:7" s="3" customFormat="1" ht="24" customHeight="1">
      <c r="A20" s="27"/>
      <c r="B20" s="105" t="s">
        <v>470</v>
      </c>
      <c r="C20" s="68">
        <v>0</v>
      </c>
      <c r="D20" s="68">
        <v>0</v>
      </c>
      <c r="E20" s="68">
        <v>0</v>
      </c>
      <c r="F20" s="68">
        <v>0</v>
      </c>
      <c r="G20" s="70">
        <f t="shared" si="0"/>
        <v>0</v>
      </c>
    </row>
    <row r="21" spans="1:7" s="3" customFormat="1" ht="12" customHeight="1">
      <c r="A21" s="27" t="s">
        <v>183</v>
      </c>
      <c r="B21" s="55" t="s">
        <v>250</v>
      </c>
      <c r="C21" s="68">
        <v>0</v>
      </c>
      <c r="D21" s="68">
        <v>0</v>
      </c>
      <c r="E21" s="68">
        <v>0</v>
      </c>
      <c r="F21" s="68">
        <v>0</v>
      </c>
      <c r="G21" s="68">
        <f t="shared" si="0"/>
        <v>0</v>
      </c>
    </row>
    <row r="22" spans="1:7" s="3" customFormat="1" ht="12" customHeight="1">
      <c r="A22" s="27" t="s">
        <v>184</v>
      </c>
      <c r="B22" s="55" t="s">
        <v>384</v>
      </c>
      <c r="C22" s="68">
        <v>0</v>
      </c>
      <c r="D22" s="68">
        <v>0</v>
      </c>
      <c r="E22" s="68">
        <v>0</v>
      </c>
      <c r="F22" s="68">
        <v>0</v>
      </c>
      <c r="G22" s="68">
        <f t="shared" si="0"/>
        <v>0</v>
      </c>
    </row>
    <row r="23" spans="1:7" s="80" customFormat="1" ht="13.5">
      <c r="A23" s="76" t="s">
        <v>80</v>
      </c>
      <c r="B23" s="77" t="s">
        <v>309</v>
      </c>
      <c r="C23" s="90">
        <f>SUM(C10,C11,C16,C17,C21,C22)</f>
        <v>562604</v>
      </c>
      <c r="D23" s="90">
        <f>SUM(D10,D11,D16,D17,D21,D22)</f>
        <v>583802</v>
      </c>
      <c r="E23" s="90">
        <f>SUM(E10,E11,E16,E17,E21,E22)</f>
        <v>588573</v>
      </c>
      <c r="F23" s="90">
        <f>SUM(F10,F11,F16,F17,F21,F22)</f>
        <v>17558</v>
      </c>
      <c r="G23" s="67">
        <f t="shared" si="0"/>
        <v>606131</v>
      </c>
    </row>
    <row r="24" spans="1:7" s="3" customFormat="1" ht="12" customHeight="1">
      <c r="A24" s="27" t="s">
        <v>185</v>
      </c>
      <c r="B24" s="55" t="s">
        <v>69</v>
      </c>
      <c r="C24" s="68">
        <v>0</v>
      </c>
      <c r="D24" s="68">
        <v>6400</v>
      </c>
      <c r="E24" s="68">
        <v>6400</v>
      </c>
      <c r="F24" s="68">
        <v>32407</v>
      </c>
      <c r="G24" s="68">
        <f t="shared" si="0"/>
        <v>38807</v>
      </c>
    </row>
    <row r="25" spans="1:7" s="3" customFormat="1" ht="12" customHeight="1">
      <c r="A25" s="27" t="s">
        <v>186</v>
      </c>
      <c r="B25" s="55" t="s">
        <v>72</v>
      </c>
      <c r="C25" s="68">
        <v>0</v>
      </c>
      <c r="D25" s="68">
        <v>6000</v>
      </c>
      <c r="E25" s="68">
        <v>9242</v>
      </c>
      <c r="F25" s="68">
        <v>0</v>
      </c>
      <c r="G25" s="68">
        <f t="shared" si="0"/>
        <v>9242</v>
      </c>
    </row>
    <row r="26" spans="1:7" s="2" customFormat="1" ht="27" customHeight="1">
      <c r="A26" s="26" t="s">
        <v>187</v>
      </c>
      <c r="B26" s="59" t="s">
        <v>65</v>
      </c>
      <c r="C26" s="60">
        <f>SUM(C27,C29)</f>
        <v>0</v>
      </c>
      <c r="D26" s="60">
        <f>SUM(D27,D29)</f>
        <v>0</v>
      </c>
      <c r="E26" s="60">
        <f>SUM(E27,E29)</f>
        <v>0</v>
      </c>
      <c r="F26" s="60">
        <f>SUM(F27,F29)</f>
        <v>0</v>
      </c>
      <c r="G26" s="93">
        <f t="shared" si="0"/>
        <v>0</v>
      </c>
    </row>
    <row r="27" spans="1:7" s="3" customFormat="1" ht="12" customHeight="1">
      <c r="A27" s="96"/>
      <c r="B27" s="103" t="s">
        <v>471</v>
      </c>
      <c r="C27" s="69">
        <v>0</v>
      </c>
      <c r="D27" s="127">
        <v>0</v>
      </c>
      <c r="E27" s="127">
        <v>0</v>
      </c>
      <c r="F27" s="127">
        <v>0</v>
      </c>
      <c r="G27" s="69">
        <f t="shared" si="0"/>
        <v>0</v>
      </c>
    </row>
    <row r="28" spans="1:7" s="3" customFormat="1" ht="12" customHeight="1">
      <c r="A28" s="94"/>
      <c r="B28" s="104" t="s">
        <v>288</v>
      </c>
      <c r="C28" s="70">
        <v>0</v>
      </c>
      <c r="D28" s="128">
        <v>0</v>
      </c>
      <c r="E28" s="128">
        <v>0</v>
      </c>
      <c r="F28" s="128">
        <v>0</v>
      </c>
      <c r="G28" s="70">
        <f t="shared" si="0"/>
        <v>0</v>
      </c>
    </row>
    <row r="29" spans="1:7" s="3" customFormat="1" ht="24" customHeight="1">
      <c r="A29" s="27"/>
      <c r="B29" s="105" t="s">
        <v>472</v>
      </c>
      <c r="C29" s="68">
        <v>0</v>
      </c>
      <c r="D29" s="68">
        <v>0</v>
      </c>
      <c r="E29" s="68">
        <v>0</v>
      </c>
      <c r="F29" s="68">
        <v>0</v>
      </c>
      <c r="G29" s="70">
        <f t="shared" si="0"/>
        <v>0</v>
      </c>
    </row>
    <row r="30" spans="1:7" s="78" customFormat="1" ht="12" customHeight="1">
      <c r="A30" s="76" t="s">
        <v>329</v>
      </c>
      <c r="B30" s="77" t="s">
        <v>310</v>
      </c>
      <c r="C30" s="67">
        <f>SUM(C24,C25,C26)</f>
        <v>0</v>
      </c>
      <c r="D30" s="67">
        <f>SUM(D24,D25,D26)</f>
        <v>12400</v>
      </c>
      <c r="E30" s="67">
        <f>SUM(E24,E25,E26)</f>
        <v>15642</v>
      </c>
      <c r="F30" s="67">
        <f>SUM(F24,F25,F26)</f>
        <v>32407</v>
      </c>
      <c r="G30" s="67">
        <f t="shared" si="0"/>
        <v>48049</v>
      </c>
    </row>
    <row r="31" spans="1:7" s="78" customFormat="1" ht="13.5" customHeight="1">
      <c r="A31" s="76"/>
      <c r="B31" s="77" t="s">
        <v>128</v>
      </c>
      <c r="C31" s="67">
        <f>SUM(C23,C24:C26)</f>
        <v>562604</v>
      </c>
      <c r="D31" s="67">
        <f>SUM(D23,D24:D26)</f>
        <v>596202</v>
      </c>
      <c r="E31" s="67">
        <f>SUM(E23,E24:E26)</f>
        <v>604215</v>
      </c>
      <c r="F31" s="67">
        <f>SUM(F23,F24:F26)</f>
        <v>49965</v>
      </c>
      <c r="G31" s="67">
        <f t="shared" si="0"/>
        <v>654180</v>
      </c>
    </row>
    <row r="32" spans="1:7" s="78" customFormat="1" ht="12" customHeight="1">
      <c r="A32" s="76"/>
      <c r="B32" s="106" t="s">
        <v>311</v>
      </c>
      <c r="C32" s="68"/>
      <c r="D32" s="68"/>
      <c r="E32" s="68"/>
      <c r="F32" s="68"/>
      <c r="G32" s="68"/>
    </row>
    <row r="33" spans="1:7" s="78" customFormat="1" ht="12" customHeight="1">
      <c r="A33" s="27" t="s">
        <v>208</v>
      </c>
      <c r="B33" s="107" t="s">
        <v>234</v>
      </c>
      <c r="C33" s="68">
        <v>0</v>
      </c>
      <c r="D33" s="68">
        <v>0</v>
      </c>
      <c r="E33" s="68">
        <v>0</v>
      </c>
      <c r="F33" s="68">
        <v>0</v>
      </c>
      <c r="G33" s="68">
        <f t="shared" si="0"/>
        <v>0</v>
      </c>
    </row>
    <row r="34" spans="1:7" s="78" customFormat="1" ht="24" customHeight="1">
      <c r="A34" s="96" t="s">
        <v>209</v>
      </c>
      <c r="B34" s="108" t="s">
        <v>414</v>
      </c>
      <c r="C34" s="69">
        <v>44818</v>
      </c>
      <c r="D34" s="68">
        <v>44818</v>
      </c>
      <c r="E34" s="68">
        <v>44818</v>
      </c>
      <c r="F34" s="127">
        <v>0</v>
      </c>
      <c r="G34" s="68">
        <f t="shared" si="0"/>
        <v>44818</v>
      </c>
    </row>
    <row r="35" spans="1:7" s="78" customFormat="1" ht="12" customHeight="1">
      <c r="A35" s="27" t="s">
        <v>210</v>
      </c>
      <c r="B35" s="12" t="s">
        <v>181</v>
      </c>
      <c r="C35" s="68">
        <v>1400</v>
      </c>
      <c r="D35" s="70">
        <v>1400</v>
      </c>
      <c r="E35" s="68">
        <v>1400</v>
      </c>
      <c r="F35" s="68">
        <v>0</v>
      </c>
      <c r="G35" s="68">
        <f t="shared" si="0"/>
        <v>1400</v>
      </c>
    </row>
    <row r="36" spans="1:7" s="78" customFormat="1" ht="12" customHeight="1">
      <c r="A36" s="27" t="s">
        <v>182</v>
      </c>
      <c r="B36" s="55" t="s">
        <v>111</v>
      </c>
      <c r="C36" s="68">
        <v>0</v>
      </c>
      <c r="D36" s="68">
        <v>0</v>
      </c>
      <c r="E36" s="68">
        <v>0</v>
      </c>
      <c r="F36" s="68">
        <v>0</v>
      </c>
      <c r="G36" s="68">
        <f t="shared" si="0"/>
        <v>0</v>
      </c>
    </row>
    <row r="37" spans="1:7" s="78" customFormat="1" ht="12" customHeight="1">
      <c r="A37" s="27" t="s">
        <v>183</v>
      </c>
      <c r="B37" s="55" t="s">
        <v>141</v>
      </c>
      <c r="C37" s="68">
        <v>6434</v>
      </c>
      <c r="D37" s="68">
        <v>6434</v>
      </c>
      <c r="E37" s="68">
        <v>6434</v>
      </c>
      <c r="F37" s="68">
        <v>0</v>
      </c>
      <c r="G37" s="69">
        <f t="shared" si="0"/>
        <v>6434</v>
      </c>
    </row>
    <row r="38" spans="1:7" s="78" customFormat="1" ht="25.5" customHeight="1">
      <c r="A38" s="96" t="s">
        <v>184</v>
      </c>
      <c r="B38" s="109" t="s">
        <v>62</v>
      </c>
      <c r="C38" s="69">
        <v>0</v>
      </c>
      <c r="D38" s="127">
        <v>0</v>
      </c>
      <c r="E38" s="127">
        <v>77</v>
      </c>
      <c r="F38" s="127">
        <v>0</v>
      </c>
      <c r="G38" s="69">
        <f t="shared" si="0"/>
        <v>77</v>
      </c>
    </row>
    <row r="39" spans="1:7" s="78" customFormat="1" ht="12" customHeight="1">
      <c r="A39" s="94"/>
      <c r="B39" s="104" t="s">
        <v>288</v>
      </c>
      <c r="C39" s="70">
        <v>0</v>
      </c>
      <c r="D39" s="128">
        <v>0</v>
      </c>
      <c r="E39" s="128">
        <v>0</v>
      </c>
      <c r="F39" s="128">
        <v>0</v>
      </c>
      <c r="G39" s="70">
        <f t="shared" si="0"/>
        <v>0</v>
      </c>
    </row>
    <row r="40" spans="1:7" s="78" customFormat="1" ht="24" customHeight="1">
      <c r="A40" s="27" t="s">
        <v>185</v>
      </c>
      <c r="B40" s="110" t="s">
        <v>119</v>
      </c>
      <c r="C40" s="69">
        <v>0</v>
      </c>
      <c r="D40" s="69">
        <v>0</v>
      </c>
      <c r="E40" s="69">
        <v>240</v>
      </c>
      <c r="F40" s="69">
        <v>0</v>
      </c>
      <c r="G40" s="199">
        <f t="shared" si="0"/>
        <v>240</v>
      </c>
    </row>
    <row r="41" spans="1:7" s="78" customFormat="1" ht="12" customHeight="1">
      <c r="A41" s="96" t="s">
        <v>186</v>
      </c>
      <c r="B41" s="109" t="s">
        <v>63</v>
      </c>
      <c r="C41" s="69">
        <v>0</v>
      </c>
      <c r="D41" s="127">
        <v>0</v>
      </c>
      <c r="E41" s="127">
        <v>0</v>
      </c>
      <c r="F41" s="127">
        <v>0</v>
      </c>
      <c r="G41" s="69">
        <f t="shared" si="0"/>
        <v>0</v>
      </c>
    </row>
    <row r="42" spans="1:7" s="78" customFormat="1" ht="12" customHeight="1">
      <c r="A42" s="94"/>
      <c r="B42" s="104" t="s">
        <v>288</v>
      </c>
      <c r="C42" s="70">
        <v>0</v>
      </c>
      <c r="D42" s="128">
        <v>0</v>
      </c>
      <c r="E42" s="128">
        <v>0</v>
      </c>
      <c r="F42" s="128">
        <v>0</v>
      </c>
      <c r="G42" s="70">
        <f t="shared" si="0"/>
        <v>0</v>
      </c>
    </row>
    <row r="43" spans="1:7" s="78" customFormat="1" ht="24" customHeight="1">
      <c r="A43" s="27" t="s">
        <v>187</v>
      </c>
      <c r="B43" s="110" t="s">
        <v>481</v>
      </c>
      <c r="C43" s="70">
        <v>0</v>
      </c>
      <c r="D43" s="70">
        <v>0</v>
      </c>
      <c r="E43" s="70">
        <v>0</v>
      </c>
      <c r="F43" s="70">
        <v>0</v>
      </c>
      <c r="G43" s="70">
        <f t="shared" si="0"/>
        <v>0</v>
      </c>
    </row>
    <row r="44" spans="1:7" s="78" customFormat="1" ht="12" customHeight="1">
      <c r="A44" s="27" t="s">
        <v>188</v>
      </c>
      <c r="B44" s="55" t="s">
        <v>303</v>
      </c>
      <c r="C44" s="68">
        <v>0</v>
      </c>
      <c r="D44" s="68">
        <v>0</v>
      </c>
      <c r="E44" s="68">
        <v>0</v>
      </c>
      <c r="F44" s="68">
        <v>0</v>
      </c>
      <c r="G44" s="68">
        <f t="shared" si="0"/>
        <v>0</v>
      </c>
    </row>
    <row r="45" spans="1:7" s="78" customFormat="1" ht="12" customHeight="1">
      <c r="A45" s="27" t="s">
        <v>189</v>
      </c>
      <c r="B45" s="55" t="s">
        <v>304</v>
      </c>
      <c r="C45" s="68">
        <v>0</v>
      </c>
      <c r="D45" s="68">
        <v>12076</v>
      </c>
      <c r="E45" s="68">
        <v>12076</v>
      </c>
      <c r="F45" s="68">
        <v>0</v>
      </c>
      <c r="G45" s="68">
        <f t="shared" si="0"/>
        <v>12076</v>
      </c>
    </row>
    <row r="46" spans="1:7" s="78" customFormat="1" ht="12" customHeight="1">
      <c r="A46" s="76"/>
      <c r="B46" s="77" t="s">
        <v>272</v>
      </c>
      <c r="C46" s="67">
        <f>SUM(C33:C45)-C39-C42</f>
        <v>52652</v>
      </c>
      <c r="D46" s="67">
        <f>SUM(D33:D45)-D39-D42</f>
        <v>64728</v>
      </c>
      <c r="E46" s="67">
        <f>SUM(E33:E45)-E39-E42</f>
        <v>65045</v>
      </c>
      <c r="F46" s="67">
        <f>SUM(F33:F45)-F39-F42</f>
        <v>0</v>
      </c>
      <c r="G46" s="67">
        <f t="shared" si="0"/>
        <v>65045</v>
      </c>
    </row>
    <row r="47" spans="1:7" s="80" customFormat="1" ht="13.5">
      <c r="A47" s="81" t="s">
        <v>190</v>
      </c>
      <c r="B47" s="77" t="s">
        <v>143</v>
      </c>
      <c r="C47" s="67">
        <v>509952</v>
      </c>
      <c r="D47" s="67">
        <v>531474</v>
      </c>
      <c r="E47" s="67">
        <v>539170</v>
      </c>
      <c r="F47" s="67">
        <v>49965</v>
      </c>
      <c r="G47" s="67">
        <f t="shared" si="0"/>
        <v>589135</v>
      </c>
    </row>
    <row r="48" spans="1:7" s="80" customFormat="1" ht="12" customHeight="1">
      <c r="A48" s="30"/>
      <c r="B48" s="111" t="s">
        <v>66</v>
      </c>
      <c r="C48" s="57">
        <v>168665</v>
      </c>
      <c r="D48" s="57">
        <v>168665</v>
      </c>
      <c r="E48" s="57">
        <v>168665</v>
      </c>
      <c r="F48" s="57">
        <v>0</v>
      </c>
      <c r="G48" s="68">
        <f t="shared" si="0"/>
        <v>168665</v>
      </c>
    </row>
    <row r="49" spans="1:7" s="80" customFormat="1" ht="12" customHeight="1">
      <c r="A49" s="30"/>
      <c r="B49" s="87" t="s">
        <v>232</v>
      </c>
      <c r="C49" s="57">
        <v>0</v>
      </c>
      <c r="D49" s="57">
        <v>0</v>
      </c>
      <c r="E49" s="57">
        <v>0</v>
      </c>
      <c r="F49" s="57">
        <v>0</v>
      </c>
      <c r="G49" s="68">
        <f t="shared" si="0"/>
        <v>0</v>
      </c>
    </row>
    <row r="50" spans="1:7" s="80" customFormat="1" ht="13.5" customHeight="1">
      <c r="A50" s="88"/>
      <c r="B50" s="89" t="s">
        <v>74</v>
      </c>
      <c r="C50" s="90">
        <f>SUM(C46:C47)</f>
        <v>562604</v>
      </c>
      <c r="D50" s="90">
        <f>SUM(D46:D47)</f>
        <v>596202</v>
      </c>
      <c r="E50" s="90">
        <v>604215</v>
      </c>
      <c r="F50" s="90">
        <f>SUM(F46:F47)</f>
        <v>49965</v>
      </c>
      <c r="G50" s="67">
        <f t="shared" si="0"/>
        <v>654180</v>
      </c>
    </row>
  </sheetData>
  <sheetProtection password="CC08"/>
  <mergeCells count="4">
    <mergeCell ref="A1:G1"/>
    <mergeCell ref="A2:G2"/>
    <mergeCell ref="A3:G3"/>
    <mergeCell ref="A4:G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CE,Normál"3/b.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Lalika</dc:creator>
  <cp:keywords/>
  <dc:description/>
  <cp:lastModifiedBy>Bánhegyi Zsuzsanna</cp:lastModifiedBy>
  <cp:lastPrinted>2009-12-22T14:36:27Z</cp:lastPrinted>
  <dcterms:created xsi:type="dcterms:W3CDTF">2000-12-19T13:47:05Z</dcterms:created>
  <dcterms:modified xsi:type="dcterms:W3CDTF">2010-01-06T10:38:37Z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