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45" windowWidth="9570" windowHeight="2220" tabRatio="590" activeTab="0"/>
  </bookViews>
  <sheets>
    <sheet name="1.számú melléklet" sheetId="1" r:id="rId1"/>
    <sheet name="1a.számú melléklet " sheetId="2" r:id="rId2"/>
    <sheet name="2.számú melléklet" sheetId="3" r:id="rId3"/>
    <sheet name="2a.számú melléklet" sheetId="4" r:id="rId4"/>
    <sheet name="2b.számú melléklet" sheetId="5" r:id="rId5"/>
    <sheet name="2c.számú melléklet" sheetId="6" r:id="rId6"/>
    <sheet name="3.számú melléklet" sheetId="7" r:id="rId7"/>
    <sheet name="3a.számú melléklet" sheetId="8" r:id="rId8"/>
    <sheet name="3b.számú melléklet" sheetId="9" r:id="rId9"/>
    <sheet name="3c.számú melléklet" sheetId="10" r:id="rId10"/>
    <sheet name="3d.számú melléklet" sheetId="11" r:id="rId11"/>
    <sheet name="3e.számú melléklet" sheetId="12" r:id="rId12"/>
    <sheet name="3f.számú melléklet" sheetId="13" r:id="rId13"/>
    <sheet name="3g.számú melléklet" sheetId="14" r:id="rId14"/>
    <sheet name="3h.számú melléklet" sheetId="15" r:id="rId15"/>
    <sheet name="4.számú melléklet" sheetId="16" r:id="rId16"/>
    <sheet name="4a.számú melléklet" sheetId="17" r:id="rId17"/>
    <sheet name="4b.mellékletBolgár" sheetId="18" r:id="rId18"/>
    <sheet name="4b.mellékletCigány" sheetId="19" r:id="rId19"/>
    <sheet name="4b.mellékletGörög" sheetId="20" r:id="rId20"/>
    <sheet name="4b.mellékletLengyel" sheetId="21" r:id="rId21"/>
    <sheet name="4b.mellékletNémet" sheetId="22" r:id="rId22"/>
    <sheet name="4b.mellékletÖrmény" sheetId="23" r:id="rId23"/>
    <sheet name="4b.mellékletRomán" sheetId="24" r:id="rId24"/>
    <sheet name="4b.mellékletRuszin" sheetId="25" r:id="rId25"/>
    <sheet name="6a.melléklet (1)" sheetId="26" r:id="rId26"/>
    <sheet name="6a.melléklet (2)" sheetId="27" r:id="rId27"/>
    <sheet name="6a.melléklet (3)" sheetId="28" r:id="rId28"/>
    <sheet name="6a.melléklet (4)" sheetId="29" r:id="rId29"/>
    <sheet name="6a.melléklet (5)" sheetId="30" r:id="rId30"/>
    <sheet name="6a.melléklet (6)" sheetId="31" r:id="rId31"/>
    <sheet name="6a.melléklet (7)" sheetId="32" r:id="rId32"/>
    <sheet name="6a.melléklet (8)" sheetId="33" r:id="rId33"/>
    <sheet name="6a.melléklet (9)" sheetId="34" r:id="rId34"/>
    <sheet name="6a.melléklet (10)" sheetId="35" r:id="rId35"/>
    <sheet name="6b.számú melléklet(1)" sheetId="36" r:id="rId36"/>
    <sheet name="6b.számú melléklet(2)" sheetId="37" r:id="rId37"/>
  </sheets>
  <externalReferences>
    <externalReference r:id="rId40"/>
  </externalReferences>
  <definedNames>
    <definedName name="_xlnm.Print_Titles" localSheetId="0">'1.számú melléklet'!$8:$10</definedName>
    <definedName name="_xlnm.Print_Titles" localSheetId="1">'1a.számú melléklet '!$5:$7</definedName>
    <definedName name="_xlnm.Print_Titles" localSheetId="2">'2.számú melléklet'!$5:$7</definedName>
    <definedName name="_xlnm.Print_Titles" localSheetId="3">'2a.számú melléklet'!$4:$6</definedName>
    <definedName name="_xlnm.Print_Titles" localSheetId="4">'2b.számú melléklet'!$4:$6</definedName>
    <definedName name="_xlnm.Print_Titles" localSheetId="15">'4.számú melléklet'!$5:$7</definedName>
    <definedName name="_xlnm.Print_Titles" localSheetId="16">'4a.számú melléklet'!$7:$9</definedName>
  </definedNames>
  <calcPr fullCalcOnLoad="1"/>
</workbook>
</file>

<file path=xl/sharedStrings.xml><?xml version="1.0" encoding="utf-8"?>
<sst xmlns="http://schemas.openxmlformats.org/spreadsheetml/2006/main" count="3288" uniqueCount="722">
  <si>
    <t>Szociálpolitikai és egyéb pénzbeli juttatások</t>
  </si>
  <si>
    <t>Költségvetési kiadás összesen (I+…+V)</t>
  </si>
  <si>
    <t>Normatív módon elosztott kötött felhasználású központi támogatások</t>
  </si>
  <si>
    <t>- Személyi juttatás</t>
  </si>
  <si>
    <t>- Munkaadókat terhelő járulékok</t>
  </si>
  <si>
    <t>- Dologi kiadás</t>
  </si>
  <si>
    <t>- Intézményi felújítás</t>
  </si>
  <si>
    <t>- Egyéb felhalmozási kiadás</t>
  </si>
  <si>
    <t>Intézmények összesen</t>
  </si>
  <si>
    <t>- Egyéb munkaadói járulék</t>
  </si>
  <si>
    <t>Működés támogatása (Bolgár Kisebbségi Önkormányzat)</t>
  </si>
  <si>
    <t>Magyarországi Bolgárok Kulturális Egyesülete</t>
  </si>
  <si>
    <t>Kerületi lakosok</t>
  </si>
  <si>
    <t>Normatív lakásfenntartási támogatás</t>
  </si>
  <si>
    <t>Rendszeres gyermekvédelmi pénzbeli ellátások összesen:</t>
  </si>
  <si>
    <t xml:space="preserve">Rendszeres szociális pénzbeli ellátások összesen: </t>
  </si>
  <si>
    <t xml:space="preserve">Eseti pénzbeli szociális ellátások összesen: </t>
  </si>
  <si>
    <t xml:space="preserve">Eseti pénzbeli gyermekvédelmi ellátások </t>
  </si>
  <si>
    <t>Bursa Hungarica felsőoktatási ösztöndíjrendszer</t>
  </si>
  <si>
    <t>- Szociális továbbképzés és szakvizsga (bölcsőde)</t>
  </si>
  <si>
    <t>Önkormányzati lakótelek értékesítés</t>
  </si>
  <si>
    <t>Tartalékok mindösszesen: (I+II+III)</t>
  </si>
  <si>
    <t>Csepeli Polgárőrség</t>
  </si>
  <si>
    <t>Önkormányzati egyéb helyiségek bérbevétele</t>
  </si>
  <si>
    <t>Működés célú pénzeszközátvétel államháztartáson kívülről</t>
  </si>
  <si>
    <t>Felhalmozás célú pénzeszközátvétel államháztartáson kívülről</t>
  </si>
  <si>
    <t>Működés célú támogatási kölcsön</t>
  </si>
  <si>
    <t xml:space="preserve">Előző évi  vállalkozási eredmény  igénybevétele </t>
  </si>
  <si>
    <t>Támogatási kölcsön összesen</t>
  </si>
  <si>
    <t>Nem szociális bérlakások elkülönített számláinak tartaléka</t>
  </si>
  <si>
    <t>Pedagógiai szakmai szolgáltatás</t>
  </si>
  <si>
    <t>Csete Balázs Általános Iskola átadásának költsége</t>
  </si>
  <si>
    <t>Termofor kémények korszerűsítése pályázati összeg</t>
  </si>
  <si>
    <t>Aktívkorúak rendszeres szociális segélye</t>
  </si>
  <si>
    <t>Működési kiadások összesen (1+…+6)</t>
  </si>
  <si>
    <t>Felhalmozási célra nyújtott kölcsön visszatérülése, értékpapírok értékesítésének kibocsátásának bevétele</t>
  </si>
  <si>
    <t>Előző évi  pénzmaradvány  igénybevétele</t>
  </si>
  <si>
    <t>Előző évi  vállalkozási eredmény  igénybevétele</t>
  </si>
  <si>
    <t>- Otthonmegőrzési támogatás</t>
  </si>
  <si>
    <t>- Műk.célú pe. átadás államháztartáson kívülre</t>
  </si>
  <si>
    <t>- Felhalm.célú pénzeszk.átadás non-profit szervezeteknek</t>
  </si>
  <si>
    <t>- Műk.célú pénzeszk.átadás államháztartáson kívülre</t>
  </si>
  <si>
    <t>Működés célú támogatásértékű bevételek, átvett pénzeszközök összesen:  (I-II.)</t>
  </si>
  <si>
    <t>Felhalmozás célú támogatásértékű bevételek, átvett pénzeszközök összesen: (III-IV.)</t>
  </si>
  <si>
    <t>Rendszeres gyermekvédelmi támogatás</t>
  </si>
  <si>
    <t>Adósságcsökkentési  támogatás</t>
  </si>
  <si>
    <t xml:space="preserve">Oktatás intézményei konyháinak minőségbiztosítási előírásaira </t>
  </si>
  <si>
    <t xml:space="preserve">Polgármesteri Hivatal összesen: </t>
  </si>
  <si>
    <t>- Normatív lakásfenntartás támogatása</t>
  </si>
  <si>
    <t>- Normatív ápolási díj</t>
  </si>
  <si>
    <t>2006.évi eredeti előirányzat</t>
  </si>
  <si>
    <t>Felhalmozás célú támogatási kölcsön folyósítása</t>
  </si>
  <si>
    <t xml:space="preserve">II. </t>
  </si>
  <si>
    <t>Polgármesteri tartalék</t>
  </si>
  <si>
    <t>Önkormányzati általános tartalék</t>
  </si>
  <si>
    <t>Életjáradék lakásért</t>
  </si>
  <si>
    <t>Saját vagy bérelt ingatlan hasznosítása</t>
  </si>
  <si>
    <t>Önkormányzati igazgatási tevékenység</t>
  </si>
  <si>
    <t>Polgármesteri Hivatal összesen</t>
  </si>
  <si>
    <t>Kiadások</t>
  </si>
  <si>
    <t>Személyi juttatás</t>
  </si>
  <si>
    <t>Munkaadókat terhelő járulékok</t>
  </si>
  <si>
    <t>Dologi kiadás</t>
  </si>
  <si>
    <t>Oktatási Szolgáltató Intézmény</t>
  </si>
  <si>
    <t>Helyi közutak, hidak létesítése, felújítása</t>
  </si>
  <si>
    <t>- Zöldfelület, park és berendezései felújítása</t>
  </si>
  <si>
    <t>- Útfelújítás</t>
  </si>
  <si>
    <t>- Kerületi beruházás</t>
  </si>
  <si>
    <t>- Ápolási díj</t>
  </si>
  <si>
    <t>- Lakásfenntartási támogatás</t>
  </si>
  <si>
    <t>- Átmeneti szociális segély</t>
  </si>
  <si>
    <t xml:space="preserve">Helyi Kisebbségi Önkormányzatok </t>
  </si>
  <si>
    <t>ebből: képviselői, bizottsági kiadások</t>
  </si>
  <si>
    <t>- Szociálpolitikai és egyéb pénzbeli juttatások</t>
  </si>
  <si>
    <t>Csepeli Gyermekekért Alapítvány</t>
  </si>
  <si>
    <t>Pénzkészlet,ktgvetési függő,átfutó kiegy.kiad.</t>
  </si>
  <si>
    <t>2006.évi tartalékok kiadási előirányzatai</t>
  </si>
  <si>
    <t>- Egyéb külföldinek</t>
  </si>
  <si>
    <t xml:space="preserve">Költségvetési szervnek folyósított támogatás </t>
  </si>
  <si>
    <t>- Műk.célú pe.átadás nem pénzügyi vállalkozásnak</t>
  </si>
  <si>
    <t xml:space="preserve">- Felhalm.célú pénzeszközátadás egyéb vállalkozásnak  </t>
  </si>
  <si>
    <t>- Méltányossági közgyógyellátás</t>
  </si>
  <si>
    <t xml:space="preserve">Eseti pénzbeli gyermekvédelmi ellátások  összesen: </t>
  </si>
  <si>
    <t>Otthonmegőrzési támogatás</t>
  </si>
  <si>
    <t>Átengedett központi adók</t>
  </si>
  <si>
    <t>Felhalmozási kiadások összesen:</t>
  </si>
  <si>
    <t>Kiadások mindösszesen:</t>
  </si>
  <si>
    <t>Bevételek ezer Ft-ban</t>
  </si>
  <si>
    <t>Bevételek mindösszesen:</t>
  </si>
  <si>
    <t>Mindösszesen</t>
  </si>
  <si>
    <t>Általános tartalékok összesen: (1-2-ig)</t>
  </si>
  <si>
    <t>Társasházak</t>
  </si>
  <si>
    <t>Színházi előadások  támogatása</t>
  </si>
  <si>
    <t>Szociálpolitikai és egyéb pénzbeli  juttatások</t>
  </si>
  <si>
    <t>Továbbszámlázott szolgáltatások bevétele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</si>
  <si>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</si>
  <si>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</si>
  <si>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</si>
  <si>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</si>
  <si>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</si>
  <si>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</si>
  <si>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</si>
  <si>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</si>
  <si>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</si>
  <si>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</si>
  <si>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létszámkeret</t>
  </si>
  <si>
    <t>- Szociális továbbképzés és szakvizsga</t>
  </si>
  <si>
    <t>Átmeneti szociális segély</t>
  </si>
  <si>
    <t>Csepeli Gondozási Központ</t>
  </si>
  <si>
    <t>Felhalmozás célú pénzeszköz átadás államháztartáson kívülre</t>
  </si>
  <si>
    <t>Költségvetési hiány</t>
  </si>
  <si>
    <t>Költségvetési szervnek nyújtott támogatás (intézmény finanszírozás) miatti korrekció</t>
  </si>
  <si>
    <t xml:space="preserve">Tartalék </t>
  </si>
  <si>
    <t xml:space="preserve">Bevételek összesen: </t>
  </si>
  <si>
    <t>Áthúzódó kötelezettségek előző évről</t>
  </si>
  <si>
    <t>Magasépítőipari tevékenység (tervezések)</t>
  </si>
  <si>
    <t>- Rendkívüli gyermekvédelmi támogatás</t>
  </si>
  <si>
    <t>33.</t>
  </si>
  <si>
    <t>Céltartalékok</t>
  </si>
  <si>
    <t>VIII.</t>
  </si>
  <si>
    <t>Kiadások összesen:</t>
  </si>
  <si>
    <t>Különféle bírságok</t>
  </si>
  <si>
    <t>Helyi adók összesen</t>
  </si>
  <si>
    <t>önállóan gazdálkodók és kiemelt tételek szerint</t>
  </si>
  <si>
    <t>c</t>
  </si>
  <si>
    <t>Herman Ottó Általános Iskola</t>
  </si>
  <si>
    <t>1997. évi eredeti ei</t>
  </si>
  <si>
    <t>Királyerdei Művelődési Ház</t>
  </si>
  <si>
    <t>Polgármesteri Hivatal</t>
  </si>
  <si>
    <t xml:space="preserve">Budapest- Csepel Önkormányzata                                                                                   Polgármesteri Hivatal </t>
  </si>
  <si>
    <t xml:space="preserve">Budapest- Csepel Önkormányzata </t>
  </si>
  <si>
    <t xml:space="preserve">Civil szervezetek pályázatára </t>
  </si>
  <si>
    <t xml:space="preserve">Minőségbiztosítás az oktatásban </t>
  </si>
  <si>
    <t>Intézményi bevételek összesen</t>
  </si>
  <si>
    <t>32.</t>
  </si>
  <si>
    <t>- Működés célú pénzeszköz átadás államháztart. kívülre</t>
  </si>
  <si>
    <t>- Hosszúlejáratú hitelek visszafiz. törlesztése</t>
  </si>
  <si>
    <t xml:space="preserve">- Tartalék </t>
  </si>
  <si>
    <t xml:space="preserve">- Költségvetési szervnek folyósított támogatás </t>
  </si>
  <si>
    <t>Bevétel összesen</t>
  </si>
  <si>
    <t>Budapest-Csepel Önkormányzata Csepeli Egészségügyi Szolgálat részben önállóan gazdálkodó intézményei</t>
  </si>
  <si>
    <t>Alcím</t>
  </si>
  <si>
    <t>Intézmény neve</t>
  </si>
  <si>
    <t>Csepeli Családsegítő Szolgálat</t>
  </si>
  <si>
    <t>Csepeli Gyermekjóléti Szolgálat</t>
  </si>
  <si>
    <t>Alaptevékenység szakfeladat száma</t>
  </si>
  <si>
    <t>Gazdálkodási jogkör szerint</t>
  </si>
  <si>
    <t>részben önállóan gazdálkodó intézmény</t>
  </si>
  <si>
    <t>Előirányzat megnevezése</t>
  </si>
  <si>
    <t>Költségvetési létszámkeret főben</t>
  </si>
  <si>
    <t>Kiadások ezer Ft-ban</t>
  </si>
  <si>
    <t>1. Személyi juttatás</t>
  </si>
  <si>
    <t>VI.</t>
  </si>
  <si>
    <t>VII.</t>
  </si>
  <si>
    <t>Intézményi működési bevételek (1-5-ig)</t>
  </si>
  <si>
    <t xml:space="preserve">Intézményi működéshez kapcsolódó egyéb bevételek </t>
  </si>
  <si>
    <t>Átengedett központi adók (8-10-ig)</t>
  </si>
  <si>
    <t>Központi költségvetési támogatás (19-23-ig)</t>
  </si>
  <si>
    <t>Hitelek (30-32-ig)</t>
  </si>
  <si>
    <t>Pénzforgalom nélküli bevételek  (33-34-ig)</t>
  </si>
  <si>
    <t>Helyi adók összesen (6-7-ig)</t>
  </si>
  <si>
    <t xml:space="preserve">Pénzügyi befektetések bevételei </t>
  </si>
  <si>
    <t>2006. évi támogatásértékű bevételek és átvett pénzeszközök előirányzatai</t>
  </si>
  <si>
    <t>ebből: normatív állami támogatás</t>
  </si>
  <si>
    <t>4. ÁFA bevétel, visszatérülés</t>
  </si>
  <si>
    <t>6,7. Működés célú támogatásértékű bevételek, átvett pénzeszközök</t>
  </si>
  <si>
    <t>8,9. Felhalmozás célú támogatásértékű bevételek, átvett pénzeszközök</t>
  </si>
  <si>
    <t>10. Felhalmozás és tőke jellegű bevétel</t>
  </si>
  <si>
    <t>11. Előző évi pénzmaradvány</t>
  </si>
  <si>
    <t>12. Önkormányzati támogatás</t>
  </si>
  <si>
    <t>8. Felhalmozás célú támogatásértékű kiadások, pénzeszköz átadások</t>
  </si>
  <si>
    <t>6. Intézményi felújítás</t>
  </si>
  <si>
    <t>7. Egyéb felhalmozási kiadás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</si>
  <si>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</si>
  <si>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 szám</t>
  </si>
  <si>
    <t>Közutak és hidak üzemeltetése, fenntartása</t>
  </si>
  <si>
    <t>Város- és községgazdálkodási szolgáltatás</t>
  </si>
  <si>
    <t xml:space="preserve">- Rendszeres szociális segély </t>
  </si>
  <si>
    <t>- Tartósan munkanélküliek rendszeres szociális segélye</t>
  </si>
  <si>
    <t>- Időskorúak járadéka</t>
  </si>
  <si>
    <t>- Szociálpolitikai és egyéb pénzbeli juttatás</t>
  </si>
  <si>
    <t>- Munkanélküliek jövedelempótló támogatása</t>
  </si>
  <si>
    <t>- Mozgáskorlátozottak üzemanyag támogatása</t>
  </si>
  <si>
    <t>- Felhalmozási kiadás</t>
  </si>
  <si>
    <t>- Non-profit szervezeteknek</t>
  </si>
  <si>
    <t>- Egyéb vállalkozásoknak</t>
  </si>
  <si>
    <t>- Fejezeten (önkormányzaton) belül</t>
  </si>
  <si>
    <t>- Pénzeszközátadás háztartásoknak</t>
  </si>
  <si>
    <t>- Központi költségvetési szervnek</t>
  </si>
  <si>
    <t xml:space="preserve">- Állami (önkormányzati) nem pénzügyi  vállalkozásnak </t>
  </si>
  <si>
    <t>- Zöldfelület és berendezései felújítása</t>
  </si>
  <si>
    <t>Tartalék összesen (11+12+13)</t>
  </si>
  <si>
    <t xml:space="preserve">Szoc.pol.és egyéb pénzbeli juttatás </t>
  </si>
  <si>
    <t>Felújítás</t>
  </si>
  <si>
    <t>Hosszúlejáratú hitelek visszafizetése, törlesztése</t>
  </si>
  <si>
    <t>Rövidlejáratú hitelek visszafizetése, törlesztése</t>
  </si>
  <si>
    <t xml:space="preserve">Önkormányzati pályázati önrész </t>
  </si>
  <si>
    <t xml:space="preserve">Kisebbségi önkormányzatoknak  pályázati összeg </t>
  </si>
  <si>
    <t>- Pedagógus szakvizsga, továbbképzés, emelt szintű érettségi vizsgáztatásra való felkészülés támogatása</t>
  </si>
  <si>
    <t xml:space="preserve">Óvodák orvosi rendelői </t>
  </si>
  <si>
    <t xml:space="preserve">Magyar Vöröskereszt Budapesti Szervezete Családok átmeneti Otthona </t>
  </si>
  <si>
    <t>Magyar Vöröskereszt (Férfi Hajléktalan Szálló)</t>
  </si>
  <si>
    <t>Háziorvosi Rendelők első felszerelése</t>
  </si>
  <si>
    <t>Egészségügyi dolgozók egyszeri jutalmazása</t>
  </si>
  <si>
    <t>Babakötvény</t>
  </si>
  <si>
    <t>Működés célú támogatásértékű bevételek, előző évi támogatások, visszatérülések</t>
  </si>
  <si>
    <t xml:space="preserve">Működés célú támogatásértékű bevételek, előző évi támogatások, visszatérülések összesen: </t>
  </si>
  <si>
    <t>Felhalmozás célú támogatásértékű bevételek</t>
  </si>
  <si>
    <t xml:space="preserve">Felhalmozás célú támogatásértékű bevételek összesen: </t>
  </si>
  <si>
    <t>Működés célú támogatásértékű kiadások, pénzeszköz átadások</t>
  </si>
  <si>
    <t>Felhalmozás célú támogatásértékű kiadások, pénzeszköz átadások</t>
  </si>
  <si>
    <t>- ebből: normatív állami támogatás</t>
  </si>
  <si>
    <t>- Munkaadói járulék</t>
  </si>
  <si>
    <t>- Egészségügyi hozzájárulás</t>
  </si>
  <si>
    <t>Intézményi felújítás</t>
  </si>
  <si>
    <t>Útfelújítás</t>
  </si>
  <si>
    <t>Zöldfelület és berendezései felújítása</t>
  </si>
  <si>
    <t>Egyéb felhalmozási kiadás</t>
  </si>
  <si>
    <t>Kerületi beruházások</t>
  </si>
  <si>
    <t>Pénzügyi befektetések kiadásai</t>
  </si>
  <si>
    <t>Lakásfenntartás támogatása</t>
  </si>
  <si>
    <t>Rendkívüli gyermekvédelmi támogatás</t>
  </si>
  <si>
    <t xml:space="preserve">Szociálpolitikai és egyéb pénzbeli juttatások mindösszesen: </t>
  </si>
  <si>
    <t>Cigány Kisebbségi Önkormányzat</t>
  </si>
  <si>
    <t>- Köztemetés</t>
  </si>
  <si>
    <t xml:space="preserve">Rövid lejáratú működési hitel </t>
  </si>
  <si>
    <t>Rövid lejáratú működési hitel</t>
  </si>
  <si>
    <t>Támogatás célja</t>
  </si>
  <si>
    <t>Rendszeres szociális segély</t>
  </si>
  <si>
    <t xml:space="preserve"> önállóan gazdálkodó intézmény</t>
  </si>
  <si>
    <t>- Kerületi beruházások</t>
  </si>
  <si>
    <t>- Pénzügyi befektetések kiadásai</t>
  </si>
  <si>
    <t>- Felhalmozás célú pénzeszköz átadás államházt.kívülre</t>
  </si>
  <si>
    <t>Különféle bírságok, pótlékok és egyéb sajátos bevételek</t>
  </si>
  <si>
    <t>Normatív támogatások</t>
  </si>
  <si>
    <t xml:space="preserve">Előző évi  pénzmaradvány  igénybevétele </t>
  </si>
  <si>
    <t>Önkormányzatok elszámolásai</t>
  </si>
  <si>
    <t>Ingyenes nyelvoktatás</t>
  </si>
  <si>
    <t>- Felhalm. célú pe.átadás non-profit szervezeteknek</t>
  </si>
  <si>
    <t>- Felhalm. célú pe.átad.önkorm.nem pü.vállalk-nak</t>
  </si>
  <si>
    <t xml:space="preserve">Önállóan gazdálkodó intézmények összesen: </t>
  </si>
  <si>
    <t>Támogató szervezet megnevezés</t>
  </si>
  <si>
    <t>Nagy Imre Általános Művelődési Központ</t>
  </si>
  <si>
    <t>Felügyeleti szervtől kapott támogatás   (intézmény finanszírozás)</t>
  </si>
  <si>
    <t>Fejlesztési hitel - lakásépítési hitel</t>
  </si>
  <si>
    <t>Fejlesztési hitel - célhitel</t>
  </si>
  <si>
    <t>Csepeli Egészségügyi Szolgálat</t>
  </si>
  <si>
    <t>1.</t>
  </si>
  <si>
    <t>2.</t>
  </si>
  <si>
    <t>3.</t>
  </si>
  <si>
    <t>- Felhalm.célú pénzeszk.átadás államháztartáson kívülre</t>
  </si>
  <si>
    <t>- Állami (önkorm.) nem pénzügyi vállalk.-nak</t>
  </si>
  <si>
    <t>Országgyűlési képviselő választások</t>
  </si>
  <si>
    <t>- Belföldi hitelműveletek kiadásai</t>
  </si>
  <si>
    <t>- Rövidlejáratú hitelek visszafizetése, törlesztése</t>
  </si>
  <si>
    <t>- Áthúzódó kötelezettségek előző évről</t>
  </si>
  <si>
    <t>- Céltartalék</t>
  </si>
  <si>
    <t>Önkormányzat sajátos működési bevételei (A+B+C+D)</t>
  </si>
  <si>
    <t>- Lakhatási segély</t>
  </si>
  <si>
    <t xml:space="preserve">      </t>
  </si>
  <si>
    <t>34.</t>
  </si>
  <si>
    <t>35.</t>
  </si>
  <si>
    <t>G.</t>
  </si>
  <si>
    <t>Felhalmozási és tőkejellegű bevételek (E+F+G)</t>
  </si>
  <si>
    <t>- munkaadókat terhelő járulékok</t>
  </si>
  <si>
    <t>Lakótelepi mintapark mozgalom</t>
  </si>
  <si>
    <t>H.</t>
  </si>
  <si>
    <t>Véglegesen átvett  pénzeszközök (H+I)</t>
  </si>
  <si>
    <t>Felhalm.célra nyújtott kölcsön visszatér., értékpapírok értékesít., kibocsátásának bev.</t>
  </si>
  <si>
    <t>Működési bevételek összesen (1-12-ig)</t>
  </si>
  <si>
    <t>Karácsony Sándor Általános Iskola</t>
  </si>
  <si>
    <t>Kék Általános Iskola</t>
  </si>
  <si>
    <t>Radnóti Miklós Művelődési Ház</t>
  </si>
  <si>
    <t>Budapest-Csepel Önkormányzata</t>
  </si>
  <si>
    <t>Sor-szám</t>
  </si>
  <si>
    <t>ÁFA bevételek, visszatérülések</t>
  </si>
  <si>
    <t>Kamatbevételek</t>
  </si>
  <si>
    <t>I.</t>
  </si>
  <si>
    <t>Iparűzési adó</t>
  </si>
  <si>
    <t>A.</t>
  </si>
  <si>
    <t>Normatív módon átengedett SZJA</t>
  </si>
  <si>
    <t>Gépjárműadó</t>
  </si>
  <si>
    <t>B.</t>
  </si>
  <si>
    <t>14.</t>
  </si>
  <si>
    <t>15.</t>
  </si>
  <si>
    <t>Lokálpatriotizmus erősítését szolgáló programok indítása</t>
  </si>
  <si>
    <t>Vállalkozásfejlesztési Közalapítvány</t>
  </si>
  <si>
    <t>Weiss Manfréd programokhoz támogatás</t>
  </si>
  <si>
    <t>Kettő és többgyermekes családok, továbbá gyermeküket egyedül nevelők nyári táboroztatása és tanévkezdési támogatás</t>
  </si>
  <si>
    <t>24.</t>
  </si>
  <si>
    <t>25.</t>
  </si>
  <si>
    <t>IV.</t>
  </si>
  <si>
    <t>26.</t>
  </si>
  <si>
    <t>Idegenforgalmi adó</t>
  </si>
  <si>
    <t>27.</t>
  </si>
  <si>
    <t>Kötött felhasználással támogatott közoktatási és szociális feladatok ellátására</t>
  </si>
  <si>
    <t>Mélyépítőipar</t>
  </si>
  <si>
    <t>Kamatbevétel</t>
  </si>
  <si>
    <t>Német Kisebbségi Önkormányzat</t>
  </si>
  <si>
    <t>Örmény Kisebbségi Önkormányzat</t>
  </si>
  <si>
    <t>Román Kisebbségi Önkormányzat</t>
  </si>
  <si>
    <t>Ruszin  Kisebbségi Önkormányzat</t>
  </si>
  <si>
    <t>36.</t>
  </si>
  <si>
    <t>IX.</t>
  </si>
  <si>
    <t>X.</t>
  </si>
  <si>
    <t xml:space="preserve">Kiadás összesen </t>
  </si>
  <si>
    <t>Folyószámla hitel</t>
  </si>
  <si>
    <t xml:space="preserve">Központosított előirányzatok </t>
  </si>
  <si>
    <t>Működési hitel (hiány)</t>
  </si>
  <si>
    <t>Szolgálati lakások értékesítésének elszámolása</t>
  </si>
  <si>
    <t>Dél-budapesti Kerületek Önkormányzati Társulása</t>
  </si>
  <si>
    <t>Közös informatikai fejlesztési koncepció</t>
  </si>
  <si>
    <t>Országos Egészségbiztosítási Pénztár</t>
  </si>
  <si>
    <t xml:space="preserve">Csepeli Egészségügyi Szolgálat összesen: </t>
  </si>
  <si>
    <t xml:space="preserve">Elámen Rt. </t>
  </si>
  <si>
    <t xml:space="preserve">Herman Ottó Általános Iskola összesen: </t>
  </si>
  <si>
    <t>Szakorvosi Rendelőintézet rekonstrukció</t>
  </si>
  <si>
    <t>Hozzájárulás csatornaépítéshez</t>
  </si>
  <si>
    <t xml:space="preserve">Felhalmozás célú pénzeszköz átvétel államháztartáson kívülről összesen: </t>
  </si>
  <si>
    <t>Idegenforgalmi adó, üdülőhelyi díj</t>
  </si>
  <si>
    <t>Működés célú pénzeszköz átvétel államháztartáson kívülről</t>
  </si>
  <si>
    <t xml:space="preserve">Működés célú pénzeszköz átvétel államháztartáson kívülről összesen: </t>
  </si>
  <si>
    <t>Budapesti Elektromos Művek</t>
  </si>
  <si>
    <t xml:space="preserve">ebből: </t>
  </si>
  <si>
    <t>Tűzoltók, Rendőrség jutalmazása</t>
  </si>
  <si>
    <t>Református egyház támogatás</t>
  </si>
  <si>
    <t>Testvérváros  támogatása</t>
  </si>
  <si>
    <t xml:space="preserve">Vámosgálfalva </t>
  </si>
  <si>
    <t>Bolgár Országos Önkormányzat</t>
  </si>
  <si>
    <t>Jantra Néptánc Egyesület</t>
  </si>
  <si>
    <t>Bolgár Ifjúsági Egyesület</t>
  </si>
  <si>
    <t>CEBA Hungary KFT.</t>
  </si>
  <si>
    <t>Kiadvány támogatása (Román Kisebbségi Önkormányzat)</t>
  </si>
  <si>
    <t>Épület felújítás</t>
  </si>
  <si>
    <t>Halmozottan fogyatékos gyermekek speciális képzési támogatása, gyermeknyaraltatás támogatása</t>
  </si>
  <si>
    <t xml:space="preserve">- Támogatási kölcsön </t>
  </si>
  <si>
    <t>- Működés célú támogatási kölcsön törlesztése</t>
  </si>
  <si>
    <t>- Felhalmozás célú támogatási kölcsön folyósítása</t>
  </si>
  <si>
    <t>Támogatási kölcsön</t>
  </si>
  <si>
    <t>Működés célú támogatási kölcsön törlesztés</t>
  </si>
  <si>
    <t>Bolgár Kisebbségi Önkormányzat</t>
  </si>
  <si>
    <t>Intézmények működési bevétele</t>
  </si>
  <si>
    <t>- Felhalmozás célú pénzeszközátadások államháztatáson kívűlre</t>
  </si>
  <si>
    <t>Költségvetési kiadás összesen (6+10)</t>
  </si>
  <si>
    <t>Működés célú támogatásértékű bevételek</t>
  </si>
  <si>
    <t>Működés célú pénzeszközátvétel államháztartáson kívűlről</t>
  </si>
  <si>
    <t>Felhalmozás célú pénzeszköz átvétel államháztartáson kívűlről</t>
  </si>
  <si>
    <t>Felhalmozási kiadás és pü.befektetések összesen (7+…+9)</t>
  </si>
  <si>
    <t>Bevételek összesen (11+..+18)</t>
  </si>
  <si>
    <t>Zöldfelület, park és berendezései felújítása</t>
  </si>
  <si>
    <t>Közcélú foglalkoztatás</t>
  </si>
  <si>
    <t>Állami támogatásból ingyenes tankönyv támogatás</t>
  </si>
  <si>
    <t>Középiskolások önkormányzati tankönyvtámogatása</t>
  </si>
  <si>
    <t>Normatív ápolási díj</t>
  </si>
  <si>
    <t>Önkormányzati igazgatási tevékenység összesen:</t>
  </si>
  <si>
    <t>Felhalmozás célú központi költségvetési támogatás</t>
  </si>
  <si>
    <t>Egyéb sajátos bevételek</t>
  </si>
  <si>
    <t>Átengedett SZJA</t>
  </si>
  <si>
    <t>- Képzési támogatás</t>
  </si>
  <si>
    <t>Támogatott szervezet megnevezés</t>
  </si>
  <si>
    <t>- Adósságcsökkentési tám.rész. lakásfenntartási támogatás</t>
  </si>
  <si>
    <t>Háziorvosi Szolgálat</t>
  </si>
  <si>
    <t>Működés támogatása (Csepeli Egészségügyi Szolgálat)</t>
  </si>
  <si>
    <t>- Bursa Hungarica felsőoktatási ösztöndíjrendszer</t>
  </si>
  <si>
    <t>Egyéb sajátos folyó bevételek (11-16-ig)</t>
  </si>
  <si>
    <t>Önkormányzati sajátos felhalmozási és tőke bevételek (17-18-ig)</t>
  </si>
  <si>
    <t>Felhalmozás és tőke jellegű bevétel</t>
  </si>
  <si>
    <t>Előző évi pénzmaradvány</t>
  </si>
  <si>
    <t>Felhalmozási bevételek összesen (13-16-ig)</t>
  </si>
  <si>
    <t>Lengyel Kisebbségi Önkormányzat</t>
  </si>
  <si>
    <t xml:space="preserve">- Aktívkorúak rendszeres szociális segély </t>
  </si>
  <si>
    <t>Bérleti jogviszony megváltás</t>
  </si>
  <si>
    <t>Működési célú támogatásértékű bevételek, átvett pénzeszközök (24-27-ig)</t>
  </si>
  <si>
    <t>Felhalmozási célú támogatásértékű bevételek, átvett pénzeszközök (28-29-ig)</t>
  </si>
  <si>
    <t>- Táppénzhozzájárulás</t>
  </si>
  <si>
    <t>- Társadalombiztosítási járulék</t>
  </si>
  <si>
    <t>Működési kiadások összesen</t>
  </si>
  <si>
    <t>Felhalmozási kiadások összesen</t>
  </si>
  <si>
    <t xml:space="preserve">Bevételek </t>
  </si>
  <si>
    <t>Működési kiadások összesen (1+…+5)</t>
  </si>
  <si>
    <t>XII.</t>
  </si>
  <si>
    <t>Oktatási, Művelődési, Ifjúsági és Sport Ágazat 2006. április 1-i bérfejlesztésre</t>
  </si>
  <si>
    <t xml:space="preserve">Játszóudvarok felülvizsgálata, játékok bontása, javítása </t>
  </si>
  <si>
    <t>Szociális és Egészségügyi Ágazat 2006. április 1-i bérfejlesztésre</t>
  </si>
  <si>
    <t xml:space="preserve">Oktatási, Művelődési, Ifjúsági és Sport Ágazat érdekeltségi céltartalék </t>
  </si>
  <si>
    <t>Önkormányzati tankönyv támogatás</t>
  </si>
  <si>
    <t>Lakhelyen maradó SZJA (Költségvetési törvény 52 §-a alapján)</t>
  </si>
  <si>
    <t>Helyi TV és Csepel Újság támogatása</t>
  </si>
  <si>
    <t xml:space="preserve">Csepp TV. Kft. </t>
  </si>
  <si>
    <t>Pályázati keret felújításokra</t>
  </si>
  <si>
    <t>Református Egyház</t>
  </si>
  <si>
    <t>Egyházfi lakás kialakításának támogatása</t>
  </si>
  <si>
    <t>Kerületi mentőállomás fejlesztésének támogatása</t>
  </si>
  <si>
    <t>Szociális és Egészségügyi Ágazat érdekeltségi céltartalék</t>
  </si>
  <si>
    <t>Közterület használati díj</t>
  </si>
  <si>
    <t>16.</t>
  </si>
  <si>
    <t>C.</t>
  </si>
  <si>
    <t>II.</t>
  </si>
  <si>
    <t>D.</t>
  </si>
  <si>
    <t>17.</t>
  </si>
  <si>
    <t>Önkormányzati lakások értékesítése</t>
  </si>
  <si>
    <t>18.</t>
  </si>
  <si>
    <t>19.</t>
  </si>
  <si>
    <t>E.</t>
  </si>
  <si>
    <t>20.</t>
  </si>
  <si>
    <t>21.</t>
  </si>
  <si>
    <t>22.</t>
  </si>
  <si>
    <t>F.</t>
  </si>
  <si>
    <t>III.</t>
  </si>
  <si>
    <t>23.</t>
  </si>
  <si>
    <t>Lakóház és nem lakás célú ingatlanok felújítása</t>
  </si>
  <si>
    <t xml:space="preserve">- Lakóház és nem lakás célú ingatlanok felújítása </t>
  </si>
  <si>
    <t>Felhalmozási kiadások és pénzügyi befektetések összesen (6+…+10)</t>
  </si>
  <si>
    <t>Felhalmozási kiadások és pénzügyi befektetések összesen (7+…+12)</t>
  </si>
  <si>
    <t>- Étkezés térítés</t>
  </si>
  <si>
    <t>Költségvetési szervnek folyósított támogatás miatti korrekció</t>
  </si>
  <si>
    <t>Biztonságos Csepelért Közalapítvány</t>
  </si>
  <si>
    <t>Működés célú pénzeszk. átadás államházt.kívülre</t>
  </si>
  <si>
    <t>Költségvetési függő,átfutó kiegyenlítő bevétel</t>
  </si>
  <si>
    <t>Tárgyi eszközök (immateriális javak, ingatlanok) értékesítése</t>
  </si>
  <si>
    <t>Parkfenntartáshoz  kapcsolódó működés kiadásaira</t>
  </si>
  <si>
    <t>ÁFA bevétel, visszatérülés</t>
  </si>
  <si>
    <t>Egyéb szociális és gyermekjóléti szolgáltatás</t>
  </si>
  <si>
    <t>Önkormányzati támogatás</t>
  </si>
  <si>
    <t>Központi költségvetési támogatás</t>
  </si>
  <si>
    <t>Helyi Kisebbségi Önkormányzatok</t>
  </si>
  <si>
    <t>- Általános tartalék  + polgármesteri keret</t>
  </si>
  <si>
    <t>- Állami (önkormányzati) nem pénzügyi vállalkozásnak</t>
  </si>
  <si>
    <t>Általános tartalék + polgármesteri keret</t>
  </si>
  <si>
    <t>Csepeli Munkásotthon Alapítvány</t>
  </si>
  <si>
    <t>Egyházak</t>
  </si>
  <si>
    <t>Egyéb Sportintézmények</t>
  </si>
  <si>
    <t>Főv.Közhasznú Foglalkoztató Kht.</t>
  </si>
  <si>
    <t xml:space="preserve">Csevak Kft. </t>
  </si>
  <si>
    <t>Fővárosi Önkormányzat</t>
  </si>
  <si>
    <t>Elidegenítési bevétel 50 %-a</t>
  </si>
  <si>
    <t>Belügyminisztérium</t>
  </si>
  <si>
    <t>Első lakáshoz jutók támogatása</t>
  </si>
  <si>
    <t>Társasházak Felújítási Alap</t>
  </si>
  <si>
    <t>Eszközfejlesztés</t>
  </si>
  <si>
    <t>Ferencvárosi Önkormányzat</t>
  </si>
  <si>
    <t>Szabálysértési feladatok támogatása</t>
  </si>
  <si>
    <t>Működés támogatása</t>
  </si>
  <si>
    <t>Fővárosi Közterületfelügyelet</t>
  </si>
  <si>
    <t>Közterületfelügyelet feladatainak támogatása</t>
  </si>
  <si>
    <t>Csepel SC. Alapítvány</t>
  </si>
  <si>
    <t>Fiatal házasok</t>
  </si>
  <si>
    <t>- Adósságcsökkentési támogatás</t>
  </si>
  <si>
    <t>Hitelek összesen (19-21-ig)</t>
  </si>
  <si>
    <t>Nem szociális bérlakás lakbérbevétele</t>
  </si>
  <si>
    <t>Ápolási díj</t>
  </si>
  <si>
    <t>- Műk.célú pe.átad.állami (önk.) nem pü.vállalk.-nak</t>
  </si>
  <si>
    <t>Bevételek</t>
  </si>
  <si>
    <t>Építményadó</t>
  </si>
  <si>
    <t xml:space="preserve">Csepeliek Művelődéséért Alapítvány </t>
  </si>
  <si>
    <t>1 db. mentőautó vásárlása</t>
  </si>
  <si>
    <t xml:space="preserve">Lakásépítési céltartalékra </t>
  </si>
  <si>
    <t>Diáksporttal kapcsolatos feladatok támogatása</t>
  </si>
  <si>
    <t>ebből: vállalkozási bevétel</t>
  </si>
  <si>
    <t>Önkormányzati pályázati önrész  544/2004(X.18)Kt.hat.GVOP -2004-4.3.2. önkormányzati adatvagyon másodlagos hasznosítása pályázat</t>
  </si>
  <si>
    <t xml:space="preserve">Önkormányzati pályázati önrész  544/2004(X.18)Kt.hat.EU-s fejlesztési pályázat </t>
  </si>
  <si>
    <t xml:space="preserve">              normatív kötött támogatás           </t>
  </si>
  <si>
    <t xml:space="preserve">              normatív kötött támogatás </t>
  </si>
  <si>
    <t xml:space="preserve">- Állami (önkorm.) nem pénzügyi  vállalkozásnak </t>
  </si>
  <si>
    <t>Hatósági jogkörhöz köthető működési bevételek</t>
  </si>
  <si>
    <t xml:space="preserve">IV. </t>
  </si>
  <si>
    <t>- Működés célú támogatásértékű kiadások</t>
  </si>
  <si>
    <t>- Működés célú pénzeszköz átadások államháztartáson kívülre</t>
  </si>
  <si>
    <t>- Felhalmozás célú támogatásértékű kiadások</t>
  </si>
  <si>
    <t>- Felhalmozás célú pénzeszköz átadások államháztartáson kívülre</t>
  </si>
  <si>
    <t>2006.évi támogatásértékű kiadások, támogatások folyósításának előirányzatai</t>
  </si>
  <si>
    <t>Működés célú támogatásértékű kiadások</t>
  </si>
  <si>
    <t>Működés célú pénzeszköz átadások államháztartáson kívülre</t>
  </si>
  <si>
    <t>Felhalmozás célú támogatásértékű kiadások</t>
  </si>
  <si>
    <t>Felhalmozás célú támogatásértékű kiadások összesen:</t>
  </si>
  <si>
    <t>Felhalmozás célú pénzeszköz átadások államháztartáson kívülre</t>
  </si>
  <si>
    <t>Felhalmozás célú pénzeszköz átadások államháztartáson kívülre összesen:</t>
  </si>
  <si>
    <t xml:space="preserve">Működés célú támogatásértékű kiadások összesen: </t>
  </si>
  <si>
    <t>2006.évi szociálpolitikai és egyéb pénzbeli juttatások  kiadási előirányzatai</t>
  </si>
  <si>
    <t>Önállóan gazdálkodó intézmények</t>
  </si>
  <si>
    <t>Időskorúak járadéka</t>
  </si>
  <si>
    <t>Szociális ösztöndíj</t>
  </si>
  <si>
    <t>Szakfeladat  megnevezése</t>
  </si>
  <si>
    <t>Étkezés térítés</t>
  </si>
  <si>
    <t>Ifjúsági feladatok támogatására</t>
  </si>
  <si>
    <t>Általános tartalékok</t>
  </si>
  <si>
    <t xml:space="preserve">I. </t>
  </si>
  <si>
    <t>Felhalmozás célú pénzeszköz átvétel államháztartáson kívülről</t>
  </si>
  <si>
    <t>Működési célú támogatásértékű kiadások, pénzeszköz átadások</t>
  </si>
  <si>
    <t>- Működés célú pénzeszközátadások államháztartáson kívülre</t>
  </si>
  <si>
    <t>4. Működés célú támogatásértékű kiadások, pénzeszköz átadások</t>
  </si>
  <si>
    <t>1. Hatósági jogkörhöz köthető működési bevételek</t>
  </si>
  <si>
    <t>2. Intézményi működéshez kapcsolódó egyéb bevételek</t>
  </si>
  <si>
    <t>3. Továbbszámlázott szolg. bevétele</t>
  </si>
  <si>
    <t>5. Kamat bevétel</t>
  </si>
  <si>
    <t>Pénzforgalom nélküli bevételek összesen (22-23-ig)</t>
  </si>
  <si>
    <t>Költségvetési bevételek összesen:</t>
  </si>
  <si>
    <t>Költségvetési bevételek összesen  (I+…+IX)</t>
  </si>
  <si>
    <t>XI.</t>
  </si>
  <si>
    <t xml:space="preserve">Felújítás összesen </t>
  </si>
  <si>
    <t>Belföldi hitelműveletek kiadásai</t>
  </si>
  <si>
    <t>- Rendszeres gyermekvédelmi támogatás</t>
  </si>
  <si>
    <t>- Szociális ösztöndíj</t>
  </si>
  <si>
    <t>Infrastruktúra Alap</t>
  </si>
  <si>
    <t xml:space="preserve">Költségvetési hiány finanszírozása </t>
  </si>
  <si>
    <t>Rendszeres szociális pénzbeli ellátások</t>
  </si>
  <si>
    <t>Rendszeres gyermekvédelmi pénzbeli ellátások</t>
  </si>
  <si>
    <t>Munkanélküli ellátások</t>
  </si>
  <si>
    <t>Eseti pénzbeli szociális ellátások</t>
  </si>
  <si>
    <t>Eseti pénzbeli gyermekvédelmi ellátások</t>
  </si>
  <si>
    <t>OEP támogatás</t>
  </si>
  <si>
    <t>28.</t>
  </si>
  <si>
    <t>29.</t>
  </si>
  <si>
    <t>30.</t>
  </si>
  <si>
    <t>31.</t>
  </si>
  <si>
    <t>V.</t>
  </si>
  <si>
    <t>2006.évi országgyűlési és önkormányzati választás</t>
  </si>
  <si>
    <t>CSM Központi út közvilágítás felújításának támogatása</t>
  </si>
  <si>
    <t xml:space="preserve">Egyéb szociális és gyermekjóléti szolgáltatás összesen: </t>
  </si>
  <si>
    <t>2. Munkaadókat terhelő járulékok</t>
  </si>
  <si>
    <t>3. Dologi kiadás</t>
  </si>
  <si>
    <t>5. Szoc.pol.és egyéb pénzbeli juttatás</t>
  </si>
  <si>
    <t>Működési kiadások összesen:</t>
  </si>
  <si>
    <t>Működés célú pénzeszköz átadások államháztartáson kívülre összesen:</t>
  </si>
  <si>
    <t>ezer Ft-ban</t>
  </si>
  <si>
    <t>Megnevezés</t>
  </si>
  <si>
    <t>b</t>
  </si>
  <si>
    <t>- személyi juttatás</t>
  </si>
  <si>
    <t>- dologi kiadás</t>
  </si>
  <si>
    <t>Céltartalék</t>
  </si>
  <si>
    <t>Fővárosi kerületek belterületi útjainak szilárd burkolattal való ellátása</t>
  </si>
  <si>
    <t>1997. évi várható telj.</t>
  </si>
  <si>
    <t>Kisegítő mezőgazdasági szolgáltatás</t>
  </si>
  <si>
    <t>Polgári védelmi tevékenység</t>
  </si>
  <si>
    <t>Állategészségügyi tevékenység</t>
  </si>
  <si>
    <t>részben önállóan gazd. intézmény</t>
  </si>
  <si>
    <t>- Működés célú pénzeszközátadás egyéb vállalkozásnak</t>
  </si>
  <si>
    <t>Országos Mentőszolgálat</t>
  </si>
  <si>
    <t>Gyermekek átmeneti elhelyezése ellátást végzők számlája alapján</t>
  </si>
  <si>
    <t xml:space="preserve">Adósságcsökkentési támogatásban részesülők lakásfenntartási támogatása </t>
  </si>
  <si>
    <t>Görög Kisebbségi Önkormányzat</t>
  </si>
  <si>
    <t>Javasolt módosítás        +, -</t>
  </si>
  <si>
    <t>Csepeli Horgász Egyesület</t>
  </si>
  <si>
    <t>Csepelért díj</t>
  </si>
  <si>
    <t>Közműfejlesztési hozzájárulás</t>
  </si>
  <si>
    <t>Céltámogatás</t>
  </si>
  <si>
    <t>- Egyéb vállalkozásnak</t>
  </si>
  <si>
    <t>Milleniumi kiadások</t>
  </si>
  <si>
    <t>"Vis major keret"</t>
  </si>
  <si>
    <t>Parkolási Alap</t>
  </si>
  <si>
    <t>Belügyminisztérium Bevándorlási Hivatal</t>
  </si>
  <si>
    <t>Létfenntartási támogatás</t>
  </si>
  <si>
    <t>Ifjúsági,Családügyi,Szociális és Esélyegyenlőségi Minisztérium</t>
  </si>
  <si>
    <t>Országos Széchenyi Könyvtár</t>
  </si>
  <si>
    <t>Továbbképzés támogatása</t>
  </si>
  <si>
    <t>Gazdasági Minisztérium</t>
  </si>
  <si>
    <t>Országgyűlési választás</t>
  </si>
  <si>
    <t>Eötvös Tudomány Egyetem</t>
  </si>
  <si>
    <t>Fővárosi Munkaügyi Központ</t>
  </si>
  <si>
    <t>Oktatási Minisztérium</t>
  </si>
  <si>
    <t>Oktatási Szolgáltató Intézmény összesen:</t>
  </si>
  <si>
    <t>Magyar Regionális Fejlesztési és Urbanisztikai Kht.</t>
  </si>
  <si>
    <t>Polgármesteri Hivatal Összesen:</t>
  </si>
  <si>
    <t>Fővárosi Közoktatás Fejlesztési Közalapítvány</t>
  </si>
  <si>
    <t>Gazdasági és Közlekedési Minisztérium</t>
  </si>
  <si>
    <t>Királyerdő-Észak csatornaépítés támogatása</t>
  </si>
  <si>
    <t>Csepel Energia Kft.</t>
  </si>
  <si>
    <t>Önállóan gazdálkodó intézménye</t>
  </si>
  <si>
    <t>Oktatási Szolgáltó Intézmény</t>
  </si>
  <si>
    <t>Térfigyelő rendszer működtetése</t>
  </si>
  <si>
    <t>Gyomaendrődi Önkormányzat</t>
  </si>
  <si>
    <t>Martenica Néptánc Együttes</t>
  </si>
  <si>
    <t>ISPA pályázat</t>
  </si>
  <si>
    <t>Dél-budai szennyvíztisztitó</t>
  </si>
  <si>
    <t>Görögség Háza Alapítvány</t>
  </si>
  <si>
    <t>Ingatlan vásárlás támogatás (Görög Kisebbségi Önkormányzat)</t>
  </si>
  <si>
    <t>Budapest Gyógyfürdői és Hévizei Rt.</t>
  </si>
  <si>
    <t>Csepeli Egészségügyi Szolgálat összesen:</t>
  </si>
  <si>
    <t>Fővárosi Vízművek</t>
  </si>
  <si>
    <t>Déli u. 4-6.vízellátás támogatása</t>
  </si>
  <si>
    <t>Körtefa u. villamosvezeték áthelyezésének támogatása</t>
  </si>
  <si>
    <t>Díszvilágítás (templomok)</t>
  </si>
  <si>
    <t>Mozgáskorlátozottak közlekedési támogatása</t>
  </si>
  <si>
    <t>Bársony Sándor kártérítés</t>
  </si>
  <si>
    <t xml:space="preserve">Oktatási Szolgáltató Intézmény összesen: </t>
  </si>
  <si>
    <t>37.</t>
  </si>
  <si>
    <t>38.</t>
  </si>
  <si>
    <t>39.</t>
  </si>
  <si>
    <t>2006.évi előirányzatainak alakulása</t>
  </si>
  <si>
    <t>Ösztöndíj</t>
  </si>
  <si>
    <t>Szigetcsépi  Önkormányzat</t>
  </si>
  <si>
    <t>Synergon Informatikai Rt.</t>
  </si>
  <si>
    <t>Eszköz vásárlás, kulturális program támogatása</t>
  </si>
  <si>
    <t>Apor Vilmos Főiskola</t>
  </si>
  <si>
    <t>Gyakorlati képzés</t>
  </si>
  <si>
    <t>Oktatási Szolgáltó Intézmény összesen:</t>
  </si>
  <si>
    <t>ROP 3.2.1-2008-02-0007/35-j-pályázat támogatása</t>
  </si>
  <si>
    <t>Javasolt módosítás     +, -</t>
  </si>
  <si>
    <t xml:space="preserve">2006.évi bevételi előirányzatainak alakulása források szerint </t>
  </si>
  <si>
    <t xml:space="preserve">2006.évi kiadási előirányzatainak alakulása </t>
  </si>
  <si>
    <t xml:space="preserve">2006.évi kiadási és bevételeli előirányzatainak alakulása </t>
  </si>
  <si>
    <t xml:space="preserve">2006.évi kiadási és bevételi előirányzatainak alakulása </t>
  </si>
  <si>
    <t xml:space="preserve">2006. évi kiadási előirányzatainak alakulása szakfeladat szerint </t>
  </si>
  <si>
    <t>Céltartalékok összesen: (1-39-ig)</t>
  </si>
  <si>
    <t>II.Rákóczi F.u.(Karácsony S.-Betű u.) gázvezeték építés</t>
  </si>
  <si>
    <t>Fővárosi Gázművek Rt.</t>
  </si>
  <si>
    <t>Budapesti Román Egyesület</t>
  </si>
  <si>
    <t>Működés támogatása (Román Kisebbségi Önkormányzat)</t>
  </si>
  <si>
    <t>BKIK Csepeli Tagcsoport</t>
  </si>
  <si>
    <t>Moszkvai Fodrász Világbajnokság résztvevőinek támogatása</t>
  </si>
  <si>
    <t>Almafa u. villamoshálózat építés</t>
  </si>
  <si>
    <t>Mezőgazdasági és Vidékfejlesztési Hivatal</t>
  </si>
  <si>
    <t>Iskolatej kiadásaira</t>
  </si>
  <si>
    <t>Földgázáremelés ellentételezésére</t>
  </si>
  <si>
    <t>PSZSZI működés támogatása</t>
  </si>
  <si>
    <t>Csete B.KSZI DÖK pályázat</t>
  </si>
  <si>
    <t>Jupiter u. Óvoda működés támogatása</t>
  </si>
  <si>
    <t>Széchenyi Ált.Isk.működés támogatása</t>
  </si>
  <si>
    <t>Kerületi  vállalkozások</t>
  </si>
  <si>
    <t>Csepeli Napok rendezvényre</t>
  </si>
  <si>
    <t>GVOP  2004.4.3.2. pályázati támogatás</t>
  </si>
  <si>
    <t>Kis-Duna öböl híd építéshez hozzájárulás</t>
  </si>
  <si>
    <t>a.)</t>
  </si>
  <si>
    <t>b.)</t>
  </si>
  <si>
    <t>Pedagógusnapi  polgármesteri jutalmazási keret  Okt.,Műv.,Ifjúsági és Sport Ágazat</t>
  </si>
  <si>
    <t>Semmelweis Napi polgármesteri jutalmazási keret  Szociális és Egészségügyi Ágazat</t>
  </si>
  <si>
    <t>Felhalmozási céltartalék északi bevételből</t>
  </si>
  <si>
    <t>XXI.ker.Rendőrkapitányság</t>
  </si>
  <si>
    <t>Árvízkárok utáni helyreállítás költségeire</t>
  </si>
  <si>
    <t>Vöröskereszt (XXI.kerületi Szervezete)</t>
  </si>
  <si>
    <t>Civil szervezetek (polgármesteri tartalék)</t>
  </si>
  <si>
    <t>Fedett uszoda építéshez hozzájárulás</t>
  </si>
  <si>
    <t>Két háziorvosi praxis egyszeri támogatása</t>
  </si>
  <si>
    <t>Háziorvosok</t>
  </si>
  <si>
    <t>Csete B. KSZI szakképzési hozzájárulás</t>
  </si>
  <si>
    <t>Egyesített Bölcsőde Közhasznú munka támog.</t>
  </si>
  <si>
    <t>11/2006(VI.13) Kt.rend.mód. előirányzata</t>
  </si>
  <si>
    <t>11/2006 (VI.13) Kt. rend.mód. előirányzata</t>
  </si>
  <si>
    <t>előző évi pénzmaradvány</t>
  </si>
  <si>
    <t>ebből: előző évi pénzmaradvány</t>
  </si>
  <si>
    <t>Önkormányzati képviselő választások</t>
  </si>
  <si>
    <t>Oktatási és Kulturális Minisztérium</t>
  </si>
  <si>
    <t>Érettségi lebonyolítás támogatása</t>
  </si>
  <si>
    <t>Kisebbségi Önkormányzati választás</t>
  </si>
  <si>
    <t>Bűnmegelőzési pályázat</t>
  </si>
  <si>
    <t>Román Kisebbségi Önkormányzat "Hagyományőrző Román nyelvoktatás Csepelen" pályázat</t>
  </si>
  <si>
    <t xml:space="preserve">Magyarországi Nemzeti és Etnikai Kisebbségekért Alapítvány </t>
  </si>
  <si>
    <t>Gyakorlati képzés támogatása</t>
  </si>
  <si>
    <t>Iskola táboroztatás támogatása</t>
  </si>
  <si>
    <t xml:space="preserve">Nagy Imre Általános Művelődési Központ összesen: </t>
  </si>
  <si>
    <t>Ifjúsági Családügyi, Szociális és Esélyegyenlőség Minisztérium</t>
  </si>
  <si>
    <t>Nyári tábor támogatása</t>
  </si>
  <si>
    <t>Szakmai rendezvények támogatása</t>
  </si>
  <si>
    <t>Petőfi Csarnok</t>
  </si>
  <si>
    <t>Szünidő program támogatás</t>
  </si>
  <si>
    <t>Eszterházi Katolikus Főiskola</t>
  </si>
  <si>
    <t>gyakorlati képzés támogatása</t>
  </si>
  <si>
    <t>Múzeumi és szinházi belépők támogatása</t>
  </si>
  <si>
    <t xml:space="preserve">Ihos Sándor Sport Közalapítvány </t>
  </si>
  <si>
    <t>Sporteszközök támogatása</t>
  </si>
  <si>
    <t>Útfelújítás támogatása</t>
  </si>
  <si>
    <t>Csepel Kertváros szennyvízcsatorna építés támogatása</t>
  </si>
  <si>
    <t>2005.évi le nem utalt támogatása</t>
  </si>
  <si>
    <t>2005.évi pénzmaradvány elvonás</t>
  </si>
  <si>
    <t>Önállóan gazdálkodó intézmények összesen:</t>
  </si>
  <si>
    <t xml:space="preserve">Beruházási Iroda átszervezése </t>
  </si>
  <si>
    <t>Civil szervezetek</t>
  </si>
  <si>
    <t>Magyar Vöröskereszt Budapeti Szervezet</t>
  </si>
  <si>
    <t>Családok Átmeneti Otthonában történő elhelyezés és szolgáltatás</t>
  </si>
  <si>
    <t>Hajléktalan személyek részére utcai szociális munka, nappali ellátás biztosítása</t>
  </si>
  <si>
    <t>40.</t>
  </si>
  <si>
    <t>41.</t>
  </si>
  <si>
    <t>42.</t>
  </si>
  <si>
    <t>Közhasznú munka támogatása (Cigány Kisebbségi Önkormányzat)</t>
  </si>
  <si>
    <t>Duna u. 24. nyugdíjasház 24. órás nővérszolgálat</t>
  </si>
  <si>
    <t>normatív kötött támogatás</t>
  </si>
  <si>
    <t>Egészségfejlesztés,  drogmegelőzés támogatása</t>
  </si>
  <si>
    <t>Kiadás összesen:</t>
  </si>
  <si>
    <t>Költségvetési kiadások összesen:</t>
  </si>
  <si>
    <t>28/2006(IX.19) Kt.rend.mód. előirányzata</t>
  </si>
  <si>
    <t>Budapest-Csepel Önkormányzata Oktatási Szolgáltató Intézmény részben önállóan gazdálkodó intézményei</t>
  </si>
  <si>
    <t>Nevelési Tanácsadó</t>
  </si>
  <si>
    <t>Tanuszoda+Sportcsoport</t>
  </si>
  <si>
    <t>Fasang Árpád Zeneiskola</t>
  </si>
  <si>
    <t>Pedagógiai Szakmai Szolgáltató Intézmény</t>
  </si>
  <si>
    <t>28/2006 (IX.19) Kt. rend.mód. előirányzata</t>
  </si>
  <si>
    <t xml:space="preserve">              normatív kötött támogatás (pedagógiai szakszolgálat)</t>
  </si>
  <si>
    <t>Csepel Galéria és Helytört. Gy.</t>
  </si>
  <si>
    <t>Központi Műhely</t>
  </si>
  <si>
    <t>Hétszínvirág Napköziotth.Óvoda</t>
  </si>
  <si>
    <t xml:space="preserve"> Tátika Napköziotthonos Óvoda </t>
  </si>
  <si>
    <t>Kádár Katalin Napköziotth.Óvoda</t>
  </si>
  <si>
    <t>Napköziotth.Óvoda Jupiter 24/a.</t>
  </si>
  <si>
    <t>Népműv. és Kézműv. Óvoda</t>
  </si>
  <si>
    <t>Erdei Óvodák</t>
  </si>
  <si>
    <t>Kerekvilág Napköziotth.Óvoda</t>
  </si>
  <si>
    <t>Napsugár Napköziotth.Óvoda</t>
  </si>
  <si>
    <t>Gyermeksziget Napköziotth.Óvoda</t>
  </si>
  <si>
    <t xml:space="preserve">Csodakút Napköziotth.Óvoda </t>
  </si>
  <si>
    <t>Napköziotth.Óvoda Vénusz u.</t>
  </si>
  <si>
    <t xml:space="preserve">Szivárvány Napköziotth.Óvoda </t>
  </si>
  <si>
    <t xml:space="preserve">Napköziotth.Óvoda Szabadság u. </t>
  </si>
  <si>
    <t>Napköziotth.Óvoda Erdősor 110.</t>
  </si>
  <si>
    <t>Gyermekláncfű Napköziotth.Óvoda</t>
  </si>
  <si>
    <t>Aprajafalva Napköziotth.Óvoda</t>
  </si>
  <si>
    <t>Móra Ferenc Ált. Iskola</t>
  </si>
  <si>
    <t>Vermes Miklós Ált. Iskola</t>
  </si>
  <si>
    <t>Gr. Széchenyi István Ált. Iskola</t>
  </si>
  <si>
    <t>Kölcsey Ferenc Ált. Iskola</t>
  </si>
  <si>
    <t>Kazinczy Ferenc Ált. Iskola</t>
  </si>
  <si>
    <t>II. Rákóczi Ferenc Ált. Iskola</t>
  </si>
  <si>
    <t>normatív kötött támogatás (pedagógiai szakszolgálat)</t>
  </si>
  <si>
    <t>Mátyás Király Ált. Iskola</t>
  </si>
  <si>
    <t>Szárcsa Ált. Iskola</t>
  </si>
  <si>
    <t>Lajtha László Ált. Iskola</t>
  </si>
  <si>
    <t>Eötvös József Ált. Iskola</t>
  </si>
  <si>
    <t>Katona József Ált. Iskola</t>
  </si>
  <si>
    <t>Mészáros Jenő Ált. Iskola</t>
  </si>
  <si>
    <t>Jedlik Ányos Gimnázium</t>
  </si>
  <si>
    <t>Csete Balázs Középiskola</t>
  </si>
  <si>
    <t>Egyesített Bölcsődék</t>
  </si>
  <si>
    <t>önállóan gazdálkodó intézmény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</si>
</sst>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  <numFmt numFmtId="202" formatCode="&quot;*&quot;#,##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b/>
      <sz val="10"/>
      <color indexed="8"/>
      <name val="Times New Roman CE"/>
      <family val="0"/>
    </font>
    <font>
      <i/>
      <sz val="10"/>
      <name val="Times New Roman CE"/>
      <family val="0"/>
    </font>
    <font>
      <b/>
      <sz val="14"/>
      <color indexed="8"/>
      <name val="Times New Roman CE"/>
      <family val="0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9"/>
      <name val="Times New Roman CE"/>
      <family val="0"/>
    </font>
    <font>
      <b/>
      <i/>
      <sz val="9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b/>
      <sz val="9"/>
      <color indexed="8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2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8"/>
      <name val="Times New Roman CE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i/>
      <sz val="9"/>
      <name val="MS Sans Serif"/>
      <family val="0"/>
    </font>
    <font>
      <b/>
      <i/>
      <sz val="8"/>
      <color indexed="8"/>
      <name val="Times New Roman CE"/>
      <family val="1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 CE"/>
      <family val="1"/>
    </font>
    <font>
      <sz val="13"/>
      <name val="MS Sans Serif"/>
      <family val="0"/>
    </font>
    <font>
      <b/>
      <i/>
      <sz val="13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 CE"/>
      <family val="1"/>
    </font>
    <font>
      <sz val="7"/>
      <name val="Times New Roman CE"/>
      <family val="1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19" applyFont="1" applyProtection="1">
      <alignment/>
      <protection hidden="1"/>
    </xf>
    <xf numFmtId="0" fontId="5" fillId="0" borderId="0" xfId="19" applyFont="1" applyBorder="1" applyAlignment="1" applyProtection="1">
      <alignment horizontal="centerContinuous" vertical="center"/>
      <protection hidden="1"/>
    </xf>
    <xf numFmtId="0" fontId="6" fillId="0" borderId="0" xfId="19" applyFont="1" applyAlignment="1" applyProtection="1">
      <alignment vertical="center" wrapText="1"/>
      <protection hidden="1"/>
    </xf>
    <xf numFmtId="0" fontId="7" fillId="0" borderId="0" xfId="19" applyFont="1" applyAlignment="1" applyProtection="1">
      <alignment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6" fillId="0" borderId="0" xfId="19" applyFont="1" applyBorder="1" applyProtection="1">
      <alignment/>
      <protection hidden="1"/>
    </xf>
    <xf numFmtId="3" fontId="7" fillId="0" borderId="0" xfId="19" applyNumberFormat="1" applyFont="1" applyProtection="1">
      <alignment/>
      <protection hidden="1"/>
    </xf>
    <xf numFmtId="0" fontId="6" fillId="0" borderId="0" xfId="19" applyFont="1" applyBorder="1" applyAlignment="1" applyProtection="1">
      <alignment/>
      <protection hidden="1"/>
    </xf>
    <xf numFmtId="0" fontId="4" fillId="0" borderId="0" xfId="21" applyFont="1" applyBorder="1" applyAlignment="1">
      <alignment horizontal="centerContinuous" vertical="center" wrapText="1"/>
      <protection/>
    </xf>
    <xf numFmtId="0" fontId="6" fillId="0" borderId="0" xfId="21" applyFont="1" applyBorder="1" applyAlignment="1">
      <alignment horizontal="centerContinuous" vertical="center" wrapText="1"/>
      <protection/>
    </xf>
    <xf numFmtId="3" fontId="6" fillId="0" borderId="0" xfId="21" applyNumberFormat="1" applyFont="1" applyAlignment="1">
      <alignment horizontal="centerContinuous" vertical="center" wrapText="1"/>
      <protection/>
    </xf>
    <xf numFmtId="3" fontId="12" fillId="0" borderId="0" xfId="21" applyNumberFormat="1" applyFont="1" applyAlignment="1">
      <alignment horizontal="centerContinuous" vertical="center" wrapText="1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/>
      <protection/>
    </xf>
    <xf numFmtId="3" fontId="6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0" xfId="22">
      <alignment/>
      <protection/>
    </xf>
    <xf numFmtId="0" fontId="8" fillId="0" borderId="0" xfId="21" applyFont="1">
      <alignment/>
      <protection/>
    </xf>
    <xf numFmtId="3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2" xfId="19" applyFont="1" applyBorder="1" applyAlignment="1" applyProtection="1">
      <alignment vertical="center"/>
      <protection hidden="1"/>
    </xf>
    <xf numFmtId="3" fontId="7" fillId="0" borderId="1" xfId="19" applyNumberFormat="1" applyFont="1" applyBorder="1" applyAlignment="1" applyProtection="1">
      <alignment horizontal="right" vertical="center"/>
      <protection hidden="1"/>
    </xf>
    <xf numFmtId="3" fontId="6" fillId="0" borderId="1" xfId="19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19" applyFont="1" applyAlignment="1" applyProtection="1">
      <alignment vertical="center"/>
      <protection hidden="1"/>
    </xf>
    <xf numFmtId="0" fontId="8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Continuous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3" xfId="19" applyFont="1" applyBorder="1" applyAlignment="1" applyProtection="1">
      <alignment vertical="center"/>
      <protection hidden="1"/>
    </xf>
    <xf numFmtId="0" fontId="15" fillId="0" borderId="2" xfId="19" applyFont="1" applyBorder="1" applyAlignment="1" applyProtection="1">
      <alignment vertical="center"/>
      <protection hidden="1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19" applyFont="1" applyAlignment="1" applyProtection="1">
      <alignment vertical="center"/>
      <protection hidden="1"/>
    </xf>
    <xf numFmtId="0" fontId="15" fillId="0" borderId="0" xfId="19" applyFont="1" applyAlignment="1" applyProtection="1">
      <alignment vertical="center"/>
      <protection hidden="1"/>
    </xf>
    <xf numFmtId="3" fontId="6" fillId="0" borderId="1" xfId="19" applyNumberFormat="1" applyFont="1" applyBorder="1" applyAlignment="1" applyProtection="1">
      <alignment horizontal="right" vertical="center"/>
      <protection hidden="1"/>
    </xf>
    <xf numFmtId="3" fontId="8" fillId="0" borderId="1" xfId="19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Continuous" wrapText="1"/>
    </xf>
    <xf numFmtId="0" fontId="15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 quotePrefix="1">
      <alignment vertical="center"/>
      <protection hidden="1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3" fillId="0" borderId="0" xfId="19" applyFont="1" applyBorder="1" applyAlignment="1" applyProtection="1">
      <alignment horizontal="centerContinuous" vertical="center" wrapText="1"/>
      <protection hidden="1"/>
    </xf>
    <xf numFmtId="3" fontId="8" fillId="0" borderId="1" xfId="0" applyNumberFormat="1" applyFont="1" applyBorder="1" applyAlignment="1">
      <alignment/>
    </xf>
    <xf numFmtId="0" fontId="16" fillId="0" borderId="0" xfId="22" applyFont="1">
      <alignment/>
      <protection/>
    </xf>
    <xf numFmtId="0" fontId="17" fillId="0" borderId="4" xfId="21" applyFont="1" applyBorder="1">
      <alignment/>
      <protection/>
    </xf>
    <xf numFmtId="0" fontId="17" fillId="0" borderId="3" xfId="21" applyFont="1" applyBorder="1" applyAlignment="1">
      <alignment/>
      <protection/>
    </xf>
    <xf numFmtId="3" fontId="18" fillId="0" borderId="1" xfId="21" applyNumberFormat="1" applyFont="1" applyFill="1" applyBorder="1" applyAlignment="1">
      <alignment horizontal="right" vertical="top"/>
      <protection/>
    </xf>
    <xf numFmtId="3" fontId="18" fillId="0" borderId="4" xfId="21" applyNumberFormat="1" applyFont="1" applyFill="1" applyBorder="1" applyAlignment="1">
      <alignment horizontal="right" vertical="top"/>
      <protection/>
    </xf>
    <xf numFmtId="0" fontId="19" fillId="0" borderId="4" xfId="21" applyFont="1" applyBorder="1">
      <alignment/>
      <protection/>
    </xf>
    <xf numFmtId="0" fontId="19" fillId="0" borderId="2" xfId="21" applyFont="1" applyBorder="1" applyAlignment="1" quotePrefix="1">
      <alignment/>
      <protection/>
    </xf>
    <xf numFmtId="3" fontId="20" fillId="0" borderId="1" xfId="21" applyNumberFormat="1" applyFont="1" applyFill="1" applyBorder="1" applyAlignment="1">
      <alignment horizontal="right" vertical="top"/>
      <protection/>
    </xf>
    <xf numFmtId="3" fontId="20" fillId="0" borderId="1" xfId="21" applyNumberFormat="1" applyFont="1" applyFill="1" applyBorder="1" applyAlignment="1" applyProtection="1">
      <alignment horizontal="right" vertical="top"/>
      <protection locked="0"/>
    </xf>
    <xf numFmtId="0" fontId="19" fillId="0" borderId="2" xfId="21" applyFont="1" applyBorder="1" quotePrefix="1">
      <alignment/>
      <protection/>
    </xf>
    <xf numFmtId="3" fontId="20" fillId="0" borderId="1" xfId="21" applyNumberFormat="1" applyFont="1" applyFill="1" applyBorder="1">
      <alignment/>
      <protection/>
    </xf>
    <xf numFmtId="3" fontId="20" fillId="0" borderId="4" xfId="21" applyNumberFormat="1" applyFont="1" applyFill="1" applyBorder="1">
      <alignment/>
      <protection/>
    </xf>
    <xf numFmtId="0" fontId="17" fillId="0" borderId="2" xfId="21" applyFont="1" applyBorder="1" applyAlignment="1" quotePrefix="1">
      <alignment/>
      <protection/>
    </xf>
    <xf numFmtId="0" fontId="17" fillId="0" borderId="3" xfId="21" applyFont="1" applyBorder="1" applyAlignment="1" quotePrefix="1">
      <alignment/>
      <protection/>
    </xf>
    <xf numFmtId="3" fontId="18" fillId="0" borderId="1" xfId="21" applyNumberFormat="1" applyFont="1" applyFill="1" applyBorder="1">
      <alignment/>
      <protection/>
    </xf>
    <xf numFmtId="3" fontId="20" fillId="0" borderId="1" xfId="21" applyNumberFormat="1" applyFont="1" applyFill="1" applyBorder="1" applyProtection="1">
      <alignment/>
      <protection locked="0"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3" fontId="18" fillId="0" borderId="1" xfId="21" applyNumberFormat="1" applyFont="1" applyBorder="1">
      <alignment/>
      <protection/>
    </xf>
    <xf numFmtId="3" fontId="18" fillId="0" borderId="4" xfId="21" applyNumberFormat="1" applyFont="1" applyBorder="1">
      <alignment/>
      <protection/>
    </xf>
    <xf numFmtId="3" fontId="19" fillId="0" borderId="1" xfId="21" applyNumberFormat="1" applyFont="1" applyBorder="1" applyAlignment="1">
      <alignment horizontal="right" vertical="top"/>
      <protection/>
    </xf>
    <xf numFmtId="3" fontId="19" fillId="0" borderId="1" xfId="21" applyNumberFormat="1" applyFont="1" applyBorder="1" applyAlignment="1" applyProtection="1">
      <alignment horizontal="right" vertical="top"/>
      <protection locked="0"/>
    </xf>
    <xf numFmtId="3" fontId="20" fillId="0" borderId="1" xfId="21" applyNumberFormat="1" applyFont="1" applyBorder="1">
      <alignment/>
      <protection/>
    </xf>
    <xf numFmtId="0" fontId="19" fillId="0" borderId="0" xfId="21" applyFont="1">
      <alignment/>
      <protection/>
    </xf>
    <xf numFmtId="3" fontId="20" fillId="0" borderId="4" xfId="21" applyNumberFormat="1" applyFont="1" applyBorder="1">
      <alignment/>
      <protection/>
    </xf>
    <xf numFmtId="0" fontId="18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20" fillId="0" borderId="4" xfId="21" applyFont="1" applyBorder="1">
      <alignment/>
      <protection/>
    </xf>
    <xf numFmtId="0" fontId="20" fillId="0" borderId="2" xfId="21" applyFont="1" applyBorder="1" applyAlignment="1" quotePrefix="1">
      <alignment/>
      <protection/>
    </xf>
    <xf numFmtId="0" fontId="20" fillId="0" borderId="3" xfId="21" applyFont="1" applyBorder="1" applyAlignment="1" quotePrefix="1">
      <alignment/>
      <protection/>
    </xf>
    <xf numFmtId="0" fontId="20" fillId="0" borderId="3" xfId="21" applyFont="1" applyBorder="1" applyAlignment="1">
      <alignment/>
      <protection/>
    </xf>
    <xf numFmtId="0" fontId="20" fillId="0" borderId="2" xfId="21" applyFont="1" applyBorder="1" quotePrefix="1">
      <alignment/>
      <protection/>
    </xf>
    <xf numFmtId="0" fontId="20" fillId="0" borderId="3" xfId="21" applyFont="1" applyBorder="1" quotePrefix="1">
      <alignment/>
      <protection/>
    </xf>
    <xf numFmtId="0" fontId="19" fillId="0" borderId="3" xfId="0" applyFont="1" applyBorder="1" applyAlignment="1" quotePrefix="1">
      <alignment wrapText="1"/>
    </xf>
    <xf numFmtId="0" fontId="8" fillId="0" borderId="0" xfId="21" applyFont="1" applyBorder="1">
      <alignment/>
      <protection/>
    </xf>
    <xf numFmtId="0" fontId="13" fillId="0" borderId="0" xfId="21" applyFont="1" applyBorder="1" applyAlignment="1">
      <alignment horizontal="centerContinuous" vertical="center" wrapText="1"/>
      <protection/>
    </xf>
    <xf numFmtId="0" fontId="6" fillId="0" borderId="5" xfId="0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3" fontId="20" fillId="0" borderId="5" xfId="21" applyNumberFormat="1" applyFont="1" applyBorder="1">
      <alignment/>
      <protection/>
    </xf>
    <xf numFmtId="3" fontId="20" fillId="0" borderId="5" xfId="21" applyNumberFormat="1" applyFont="1" applyBorder="1" applyProtection="1">
      <alignment/>
      <protection locked="0"/>
    </xf>
    <xf numFmtId="3" fontId="17" fillId="0" borderId="4" xfId="21" applyNumberFormat="1" applyFont="1" applyFill="1" applyBorder="1" applyAlignment="1">
      <alignment horizontal="right" vertical="top"/>
      <protection/>
    </xf>
    <xf numFmtId="3" fontId="17" fillId="0" borderId="4" xfId="21" applyNumberFormat="1" applyFont="1" applyFill="1" applyBorder="1">
      <alignment/>
      <protection/>
    </xf>
    <xf numFmtId="3" fontId="19" fillId="0" borderId="1" xfId="21" applyNumberFormat="1" applyFont="1" applyBorder="1">
      <alignment/>
      <protection/>
    </xf>
    <xf numFmtId="3" fontId="15" fillId="0" borderId="1" xfId="19" applyNumberFormat="1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>
      <alignment horizontal="centerContinuous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/>
    </xf>
    <xf numFmtId="3" fontId="6" fillId="0" borderId="1" xfId="0" applyNumberFormat="1" applyFont="1" applyBorder="1" applyAlignment="1" applyProtection="1">
      <alignment/>
      <protection hidden="1"/>
    </xf>
    <xf numFmtId="0" fontId="17" fillId="0" borderId="4" xfId="21" applyFont="1" applyBorder="1" applyAlignment="1">
      <alignment horizontal="left" vertical="center"/>
      <protection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 applyProtection="1" quotePrefix="1">
      <alignment vertical="center"/>
      <protection hidden="1"/>
    </xf>
    <xf numFmtId="0" fontId="6" fillId="0" borderId="2" xfId="0" applyFont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19" applyFont="1" applyProtection="1">
      <alignment/>
      <protection hidden="1"/>
    </xf>
    <xf numFmtId="0" fontId="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0" fontId="19" fillId="0" borderId="0" xfId="22" applyFont="1" quotePrefix="1">
      <alignment/>
      <protection/>
    </xf>
    <xf numFmtId="3" fontId="7" fillId="0" borderId="0" xfId="19" applyNumberFormat="1" applyFont="1" applyAlignment="1" applyProtection="1">
      <alignment horizontal="centerContinuous" vertical="center" wrapText="1"/>
      <protection hidden="1"/>
    </xf>
    <xf numFmtId="0" fontId="6" fillId="0" borderId="1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center" vertical="center" wrapText="1"/>
      <protection/>
    </xf>
    <xf numFmtId="3" fontId="6" fillId="0" borderId="1" xfId="19" applyNumberFormat="1" applyFont="1" applyBorder="1" applyAlignment="1" applyProtection="1">
      <alignment horizontal="center" vertical="center" wrapText="1"/>
      <protection hidden="1"/>
    </xf>
    <xf numFmtId="0" fontId="7" fillId="0" borderId="2" xfId="19" applyFont="1" applyBorder="1" applyAlignment="1">
      <alignment horizontal="left"/>
      <protection/>
    </xf>
    <xf numFmtId="0" fontId="6" fillId="0" borderId="1" xfId="19" applyFont="1" applyBorder="1" applyAlignment="1" applyProtection="1">
      <alignment horizontal="right" vertical="center"/>
      <protection hidden="1"/>
    </xf>
    <xf numFmtId="0" fontId="6" fillId="0" borderId="2" xfId="19" applyFont="1" applyBorder="1" applyAlignment="1" applyProtection="1">
      <alignment vertical="center" wrapText="1"/>
      <protection hidden="1"/>
    </xf>
    <xf numFmtId="0" fontId="6" fillId="0" borderId="1" xfId="19" applyFont="1" applyBorder="1" applyAlignment="1" applyProtection="1">
      <alignment horizontal="right"/>
      <protection hidden="1"/>
    </xf>
    <xf numFmtId="0" fontId="6" fillId="0" borderId="2" xfId="19" applyFont="1" applyBorder="1" applyAlignment="1" applyProtection="1">
      <alignment wrapText="1"/>
      <protection hidden="1"/>
    </xf>
    <xf numFmtId="0" fontId="6" fillId="0" borderId="2" xfId="19" applyFont="1" applyBorder="1" applyAlignment="1" applyProtection="1" quotePrefix="1">
      <alignment wrapText="1"/>
      <protection hidden="1"/>
    </xf>
    <xf numFmtId="0" fontId="6" fillId="0" borderId="2" xfId="21" applyFont="1" applyBorder="1" applyAlignment="1">
      <alignment wrapText="1"/>
      <protection/>
    </xf>
    <xf numFmtId="0" fontId="6" fillId="0" borderId="1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8" fillId="0" borderId="2" xfId="19" applyFont="1" applyBorder="1" applyAlignment="1" applyProtection="1">
      <alignment vertical="center" wrapText="1"/>
      <protection hidden="1"/>
    </xf>
    <xf numFmtId="0" fontId="8" fillId="0" borderId="1" xfId="19" applyFont="1" applyBorder="1" applyAlignment="1" applyProtection="1">
      <alignment horizontal="right" vertical="center"/>
      <protection hidden="1"/>
    </xf>
    <xf numFmtId="0" fontId="15" fillId="0" borderId="1" xfId="19" applyFont="1" applyBorder="1" applyAlignment="1" applyProtection="1" quotePrefix="1">
      <alignment horizontal="right" vertical="center"/>
      <protection hidden="1"/>
    </xf>
    <xf numFmtId="0" fontId="15" fillId="0" borderId="2" xfId="19" applyFont="1" applyBorder="1" applyAlignment="1" applyProtection="1">
      <alignment vertical="center" wrapText="1"/>
      <protection hidden="1"/>
    </xf>
    <xf numFmtId="0" fontId="15" fillId="0" borderId="0" xfId="19" applyFont="1" applyBorder="1" applyAlignment="1" applyProtection="1">
      <alignment vertical="center"/>
      <protection hidden="1"/>
    </xf>
    <xf numFmtId="3" fontId="17" fillId="0" borderId="4" xfId="21" applyNumberFormat="1" applyFont="1" applyBorder="1">
      <alignment/>
      <protection/>
    </xf>
    <xf numFmtId="0" fontId="9" fillId="0" borderId="0" xfId="22" applyBorder="1">
      <alignment/>
      <protection/>
    </xf>
    <xf numFmtId="0" fontId="11" fillId="0" borderId="1" xfId="0" applyFont="1" applyBorder="1" applyAlignment="1">
      <alignment horizontal="right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8" xfId="0" applyFont="1" applyBorder="1" applyAlignment="1">
      <alignment/>
    </xf>
    <xf numFmtId="0" fontId="24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19" applyFont="1" applyBorder="1" applyAlignment="1">
      <alignment horizontal="centerContinuous" vertical="center"/>
      <protection/>
    </xf>
    <xf numFmtId="0" fontId="7" fillId="0" borderId="1" xfId="19" applyFont="1" applyBorder="1" applyAlignment="1" applyProtection="1">
      <alignment horizontal="right" vertical="center"/>
      <protection hidden="1"/>
    </xf>
    <xf numFmtId="0" fontId="6" fillId="0" borderId="1" xfId="19" applyFont="1" applyBorder="1" applyAlignment="1" applyProtection="1">
      <alignment horizontal="right" vertical="center"/>
      <protection hidden="1"/>
    </xf>
    <xf numFmtId="3" fontId="20" fillId="0" borderId="4" xfId="21" applyNumberFormat="1" applyFont="1" applyFill="1" applyBorder="1" applyAlignment="1" applyProtection="1">
      <alignment horizontal="right" vertical="top"/>
      <protection locked="0"/>
    </xf>
    <xf numFmtId="3" fontId="18" fillId="0" borderId="4" xfId="21" applyNumberFormat="1" applyFont="1" applyFill="1" applyBorder="1">
      <alignment/>
      <protection/>
    </xf>
    <xf numFmtId="3" fontId="20" fillId="0" borderId="4" xfId="21" applyNumberFormat="1" applyFont="1" applyFill="1" applyBorder="1" applyProtection="1">
      <alignment/>
      <protection locked="0"/>
    </xf>
    <xf numFmtId="3" fontId="19" fillId="0" borderId="4" xfId="21" applyNumberFormat="1" applyFont="1" applyBorder="1" applyAlignment="1" applyProtection="1">
      <alignment horizontal="right" vertical="top"/>
      <protection locked="0"/>
    </xf>
    <xf numFmtId="3" fontId="19" fillId="0" borderId="2" xfId="21" applyNumberFormat="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/>
      <protection/>
    </xf>
    <xf numFmtId="3" fontId="18" fillId="0" borderId="9" xfId="21" applyNumberFormat="1" applyFont="1" applyFill="1" applyBorder="1" applyAlignment="1">
      <alignment horizontal="right" vertical="top"/>
      <protection/>
    </xf>
    <xf numFmtId="3" fontId="18" fillId="0" borderId="10" xfId="21" applyNumberFormat="1" applyFont="1" applyFill="1" applyBorder="1" applyAlignment="1">
      <alignment horizontal="right" vertical="top"/>
      <protection/>
    </xf>
    <xf numFmtId="0" fontId="17" fillId="0" borderId="6" xfId="21" applyFont="1" applyBorder="1">
      <alignment/>
      <protection/>
    </xf>
    <xf numFmtId="0" fontId="17" fillId="0" borderId="8" xfId="21" applyFont="1" applyBorder="1">
      <alignment/>
      <protection/>
    </xf>
    <xf numFmtId="0" fontId="17" fillId="0" borderId="11" xfId="21" applyFont="1" applyBorder="1" applyAlignment="1">
      <alignment/>
      <protection/>
    </xf>
    <xf numFmtId="3" fontId="18" fillId="0" borderId="5" xfId="21" applyNumberFormat="1" applyFont="1" applyFill="1" applyBorder="1">
      <alignment/>
      <protection/>
    </xf>
    <xf numFmtId="3" fontId="18" fillId="0" borderId="12" xfId="21" applyNumberFormat="1" applyFont="1" applyFill="1" applyBorder="1">
      <alignment/>
      <protection/>
    </xf>
    <xf numFmtId="0" fontId="19" fillId="0" borderId="4" xfId="21" applyFont="1" applyBorder="1" applyAlignment="1" quotePrefix="1">
      <alignment/>
      <protection/>
    </xf>
    <xf numFmtId="3" fontId="20" fillId="0" borderId="2" xfId="21" applyNumberFormat="1" applyFont="1" applyFill="1" applyBorder="1">
      <alignment/>
      <protection/>
    </xf>
    <xf numFmtId="3" fontId="20" fillId="0" borderId="2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 applyProtection="1">
      <alignment/>
      <protection locked="0"/>
    </xf>
    <xf numFmtId="0" fontId="19" fillId="0" borderId="12" xfId="21" applyFont="1" applyBorder="1" applyAlignment="1" quotePrefix="1">
      <alignment/>
      <protection/>
    </xf>
    <xf numFmtId="0" fontId="19" fillId="0" borderId="8" xfId="21" applyFont="1" applyBorder="1" applyAlignment="1" quotePrefix="1">
      <alignment/>
      <protection/>
    </xf>
    <xf numFmtId="3" fontId="20" fillId="0" borderId="8" xfId="21" applyNumberFormat="1" applyFont="1" applyFill="1" applyBorder="1">
      <alignment/>
      <protection/>
    </xf>
    <xf numFmtId="3" fontId="20" fillId="0" borderId="8" xfId="21" applyNumberFormat="1" applyFont="1" applyFill="1" applyBorder="1" applyProtection="1">
      <alignment/>
      <protection locked="0"/>
    </xf>
    <xf numFmtId="3" fontId="20" fillId="0" borderId="11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>
      <alignment/>
      <protection/>
    </xf>
    <xf numFmtId="3" fontId="20" fillId="0" borderId="11" xfId="21" applyNumberFormat="1" applyFont="1" applyFill="1" applyBorder="1">
      <alignment/>
      <protection/>
    </xf>
    <xf numFmtId="0" fontId="19" fillId="0" borderId="4" xfId="21" applyFont="1" applyBorder="1" quotePrefix="1">
      <alignment/>
      <protection/>
    </xf>
    <xf numFmtId="3" fontId="20" fillId="0" borderId="2" xfId="21" applyNumberFormat="1" applyFont="1" applyFill="1" applyBorder="1" applyAlignment="1">
      <alignment horizontal="right" vertical="top"/>
      <protection/>
    </xf>
    <xf numFmtId="3" fontId="20" fillId="0" borderId="2" xfId="21" applyNumberFormat="1" applyFont="1" applyFill="1" applyBorder="1" applyAlignment="1" applyProtection="1">
      <alignment horizontal="right" vertical="top"/>
      <protection locked="0"/>
    </xf>
    <xf numFmtId="3" fontId="20" fillId="0" borderId="3" xfId="21" applyNumberFormat="1" applyFont="1" applyFill="1" applyBorder="1" applyAlignment="1" applyProtection="1">
      <alignment horizontal="right" vertical="top"/>
      <protection locked="0"/>
    </xf>
    <xf numFmtId="0" fontId="19" fillId="0" borderId="8" xfId="21" applyFont="1" applyBorder="1" quotePrefix="1">
      <alignment/>
      <protection/>
    </xf>
    <xf numFmtId="3" fontId="20" fillId="0" borderId="5" xfId="21" applyNumberFormat="1" applyFont="1" applyFill="1" applyBorder="1" applyAlignment="1">
      <alignment horizontal="right" vertical="top"/>
      <protection/>
    </xf>
    <xf numFmtId="3" fontId="20" fillId="0" borderId="5" xfId="21" applyNumberFormat="1" applyFont="1" applyFill="1" applyBorder="1" applyAlignment="1" applyProtection="1">
      <alignment horizontal="right" vertical="top"/>
      <protection locked="0"/>
    </xf>
    <xf numFmtId="3" fontId="20" fillId="0" borderId="12" xfId="21" applyNumberFormat="1" applyFont="1" applyFill="1" applyBorder="1" applyAlignment="1" applyProtection="1">
      <alignment horizontal="right" vertical="top"/>
      <protection locked="0"/>
    </xf>
    <xf numFmtId="0" fontId="17" fillId="0" borderId="7" xfId="21" applyFont="1" applyBorder="1">
      <alignment/>
      <protection/>
    </xf>
    <xf numFmtId="3" fontId="18" fillId="0" borderId="9" xfId="21" applyNumberFormat="1" applyFont="1" applyFill="1" applyBorder="1">
      <alignment/>
      <protection/>
    </xf>
    <xf numFmtId="3" fontId="18" fillId="0" borderId="10" xfId="21" applyNumberFormat="1" applyFont="1" applyFill="1" applyBorder="1">
      <alignment/>
      <protection/>
    </xf>
    <xf numFmtId="0" fontId="20" fillId="0" borderId="4" xfId="21" applyFont="1" applyBorder="1" applyAlignment="1" quotePrefix="1">
      <alignment/>
      <protection/>
    </xf>
    <xf numFmtId="3" fontId="18" fillId="0" borderId="2" xfId="21" applyNumberFormat="1" applyFont="1" applyFill="1" applyBorder="1">
      <alignment/>
      <protection/>
    </xf>
    <xf numFmtId="3" fontId="18" fillId="0" borderId="2" xfId="21" applyNumberFormat="1" applyFont="1" applyFill="1" applyBorder="1" applyProtection="1">
      <alignment/>
      <protection locked="0"/>
    </xf>
    <xf numFmtId="3" fontId="18" fillId="0" borderId="3" xfId="21" applyNumberFormat="1" applyFont="1" applyFill="1" applyBorder="1" applyProtection="1">
      <alignment/>
      <protection locked="0"/>
    </xf>
    <xf numFmtId="0" fontId="17" fillId="0" borderId="7" xfId="21" applyFont="1" applyBorder="1" applyAlignment="1" quotePrefix="1">
      <alignment/>
      <protection/>
    </xf>
    <xf numFmtId="3" fontId="18" fillId="0" borderId="9" xfId="21" applyNumberFormat="1" applyFont="1" applyBorder="1">
      <alignment/>
      <protection/>
    </xf>
    <xf numFmtId="3" fontId="18" fillId="0" borderId="10" xfId="21" applyNumberFormat="1" applyFont="1" applyBorder="1">
      <alignment/>
      <protection/>
    </xf>
    <xf numFmtId="3" fontId="19" fillId="0" borderId="2" xfId="21" applyNumberFormat="1" applyFont="1" applyBorder="1" applyAlignment="1">
      <alignment horizontal="right" vertical="top"/>
      <protection/>
    </xf>
    <xf numFmtId="3" fontId="19" fillId="0" borderId="2" xfId="21" applyNumberFormat="1" applyFont="1" applyBorder="1" applyAlignment="1" applyProtection="1">
      <alignment horizontal="right" vertical="top"/>
      <protection locked="0"/>
    </xf>
    <xf numFmtId="3" fontId="20" fillId="0" borderId="12" xfId="21" applyNumberFormat="1" applyFont="1" applyBorder="1">
      <alignment/>
      <protection/>
    </xf>
    <xf numFmtId="0" fontId="6" fillId="0" borderId="2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17" fillId="0" borderId="2" xfId="21" applyFont="1" applyBorder="1" applyAlignment="1">
      <alignment horizontal="center"/>
      <protection/>
    </xf>
    <xf numFmtId="3" fontId="17" fillId="0" borderId="2" xfId="21" applyNumberFormat="1" applyFont="1" applyBorder="1" applyAlignment="1">
      <alignment horizontal="right" vertical="top"/>
      <protection/>
    </xf>
    <xf numFmtId="3" fontId="20" fillId="0" borderId="2" xfId="21" applyNumberFormat="1" applyFont="1" applyBorder="1">
      <alignment/>
      <protection/>
    </xf>
    <xf numFmtId="3" fontId="20" fillId="0" borderId="2" xfId="21" applyNumberFormat="1" applyFont="1" applyBorder="1" applyProtection="1">
      <alignment/>
      <protection locked="0"/>
    </xf>
    <xf numFmtId="3" fontId="20" fillId="0" borderId="3" xfId="21" applyNumberFormat="1" applyFont="1" applyBorder="1" applyProtection="1">
      <alignment/>
      <protection locked="0"/>
    </xf>
    <xf numFmtId="0" fontId="18" fillId="0" borderId="2" xfId="21" applyFont="1" applyBorder="1">
      <alignment/>
      <protection/>
    </xf>
    <xf numFmtId="3" fontId="20" fillId="0" borderId="3" xfId="21" applyNumberFormat="1" applyFont="1" applyBorder="1" applyAlignment="1" applyProtection="1">
      <alignment horizontal="right" vertical="top"/>
      <protection locked="0"/>
    </xf>
    <xf numFmtId="3" fontId="20" fillId="0" borderId="2" xfId="21" applyNumberFormat="1" applyFont="1" applyBorder="1" applyAlignment="1">
      <alignment horizontal="right" vertical="top"/>
      <protection/>
    </xf>
    <xf numFmtId="3" fontId="20" fillId="0" borderId="2" xfId="21" applyNumberFormat="1" applyFont="1" applyBorder="1" applyAlignment="1" applyProtection="1">
      <alignment horizontal="right" vertical="top"/>
      <protection locked="0"/>
    </xf>
    <xf numFmtId="0" fontId="11" fillId="0" borderId="2" xfId="21" applyFont="1" applyBorder="1">
      <alignment/>
      <protection/>
    </xf>
    <xf numFmtId="0" fontId="20" fillId="0" borderId="4" xfId="21" applyFont="1" applyBorder="1" quotePrefix="1">
      <alignment/>
      <protection/>
    </xf>
    <xf numFmtId="0" fontId="7" fillId="0" borderId="4" xfId="21" applyFont="1" applyBorder="1">
      <alignment/>
      <protection/>
    </xf>
    <xf numFmtId="0" fontId="7" fillId="0" borderId="2" xfId="21" applyFont="1" applyBorder="1">
      <alignment/>
      <protection/>
    </xf>
    <xf numFmtId="0" fontId="11" fillId="0" borderId="4" xfId="21" applyFont="1" applyBorder="1">
      <alignment/>
      <protection/>
    </xf>
    <xf numFmtId="0" fontId="20" fillId="0" borderId="2" xfId="21" applyFont="1" applyBorder="1" applyAlignment="1">
      <alignment/>
      <protection/>
    </xf>
    <xf numFmtId="3" fontId="18" fillId="0" borderId="3" xfId="21" applyNumberFormat="1" applyFont="1" applyBorder="1">
      <alignment/>
      <protection/>
    </xf>
    <xf numFmtId="3" fontId="20" fillId="0" borderId="3" xfId="21" applyNumberFormat="1" applyFont="1" applyBorder="1">
      <alignment/>
      <protection/>
    </xf>
    <xf numFmtId="3" fontId="20" fillId="0" borderId="3" xfId="21" applyNumberFormat="1" applyFont="1" applyBorder="1">
      <alignment/>
      <protection/>
    </xf>
    <xf numFmtId="3" fontId="19" fillId="0" borderId="3" xfId="21" applyNumberFormat="1" applyFont="1" applyBorder="1">
      <alignment/>
      <protection/>
    </xf>
    <xf numFmtId="0" fontId="18" fillId="0" borderId="2" xfId="21" applyFont="1" applyBorder="1" applyAlignment="1" quotePrefix="1">
      <alignment/>
      <protection/>
    </xf>
    <xf numFmtId="3" fontId="18" fillId="0" borderId="2" xfId="21" applyNumberFormat="1" applyFont="1" applyBorder="1">
      <alignment/>
      <protection/>
    </xf>
    <xf numFmtId="3" fontId="19" fillId="0" borderId="2" xfId="21" applyNumberFormat="1" applyFont="1" applyBorder="1">
      <alignment/>
      <protection/>
    </xf>
    <xf numFmtId="0" fontId="17" fillId="0" borderId="1" xfId="21" applyFont="1" applyBorder="1" applyAlignment="1">
      <alignment horizontal="right"/>
      <protection/>
    </xf>
    <xf numFmtId="0" fontId="19" fillId="0" borderId="1" xfId="21" applyFont="1" applyBorder="1" applyAlignment="1">
      <alignment horizontal="right"/>
      <protection/>
    </xf>
    <xf numFmtId="0" fontId="21" fillId="0" borderId="1" xfId="21" applyFont="1" applyBorder="1" applyAlignment="1">
      <alignment horizontal="right"/>
      <protection/>
    </xf>
    <xf numFmtId="0" fontId="19" fillId="0" borderId="4" xfId="21" applyFont="1" applyBorder="1" applyAlignment="1">
      <alignment horizontal="right"/>
      <protection/>
    </xf>
    <xf numFmtId="0" fontId="19" fillId="0" borderId="4" xfId="21" applyFont="1" applyBorder="1" applyAlignment="1">
      <alignment horizontal="right" vertical="center"/>
      <protection/>
    </xf>
    <xf numFmtId="0" fontId="8" fillId="0" borderId="4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20" fillId="0" borderId="1" xfId="21" applyFont="1" applyBorder="1" applyAlignment="1">
      <alignment horizontal="right"/>
      <protection/>
    </xf>
    <xf numFmtId="0" fontId="20" fillId="0" borderId="4" xfId="21" applyFont="1" applyBorder="1" applyAlignment="1">
      <alignment horizontal="right"/>
      <protection/>
    </xf>
    <xf numFmtId="0" fontId="22" fillId="0" borderId="4" xfId="21" applyFont="1" applyBorder="1" applyAlignment="1">
      <alignment horizontal="right"/>
      <protection/>
    </xf>
    <xf numFmtId="0" fontId="17" fillId="0" borderId="4" xfId="21" applyFont="1" applyBorder="1" applyAlignment="1">
      <alignment horizontal="right"/>
      <protection/>
    </xf>
    <xf numFmtId="0" fontId="11" fillId="0" borderId="8" xfId="21" applyFont="1" applyBorder="1">
      <alignment/>
      <protection/>
    </xf>
    <xf numFmtId="3" fontId="17" fillId="0" borderId="1" xfId="21" applyNumberFormat="1" applyFont="1" applyBorder="1" applyAlignment="1">
      <alignment vertical="center" wrapText="1"/>
      <protection/>
    </xf>
    <xf numFmtId="0" fontId="6" fillId="0" borderId="2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19" fillId="0" borderId="1" xfId="19" applyFont="1" applyBorder="1" applyAlignment="1" applyProtection="1">
      <alignment vertical="center"/>
      <protection hidden="1"/>
    </xf>
    <xf numFmtId="0" fontId="17" fillId="0" borderId="1" xfId="19" applyFont="1" applyFill="1" applyBorder="1" applyAlignment="1" applyProtection="1">
      <alignment vertical="center"/>
      <protection hidden="1"/>
    </xf>
    <xf numFmtId="0" fontId="17" fillId="0" borderId="1" xfId="19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>
      <alignment wrapText="1"/>
    </xf>
    <xf numFmtId="0" fontId="19" fillId="0" borderId="6" xfId="21" applyFont="1" applyBorder="1" applyAlignment="1" quotePrefix="1">
      <alignment/>
      <protection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6" fillId="0" borderId="8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20" fillId="0" borderId="8" xfId="21" applyFont="1" applyBorder="1" applyAlignment="1" quotePrefix="1">
      <alignment/>
      <protection/>
    </xf>
    <xf numFmtId="0" fontId="19" fillId="0" borderId="1" xfId="19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Continuous" vertical="center"/>
      <protection/>
    </xf>
    <xf numFmtId="3" fontId="19" fillId="0" borderId="8" xfId="21" applyNumberFormat="1" applyFont="1" applyBorder="1" applyAlignment="1">
      <alignment horizontal="centerContinuous" vertical="center" wrapText="1"/>
      <protection/>
    </xf>
    <xf numFmtId="3" fontId="19" fillId="0" borderId="11" xfId="21" applyNumberFormat="1" applyFont="1" applyBorder="1" applyAlignment="1">
      <alignment horizontal="centerContinuous" vertical="center" wrapText="1"/>
      <protection/>
    </xf>
    <xf numFmtId="0" fontId="29" fillId="0" borderId="0" xfId="22" applyFont="1">
      <alignment/>
      <protection/>
    </xf>
    <xf numFmtId="3" fontId="20" fillId="0" borderId="12" xfId="21" applyNumberFormat="1" applyFont="1" applyBorder="1" applyProtection="1">
      <alignment/>
      <protection locked="0"/>
    </xf>
    <xf numFmtId="0" fontId="19" fillId="0" borderId="2" xfId="0" applyFont="1" applyBorder="1" applyAlignment="1" quotePrefix="1">
      <alignment wrapText="1"/>
    </xf>
    <xf numFmtId="3" fontId="20" fillId="0" borderId="1" xfId="21" applyNumberFormat="1" applyFont="1" applyBorder="1" applyAlignment="1" applyProtection="1">
      <alignment horizontal="right" vertical="top"/>
      <protection locked="0"/>
    </xf>
    <xf numFmtId="0" fontId="20" fillId="0" borderId="1" xfId="21" applyFont="1" applyBorder="1">
      <alignment/>
      <protection/>
    </xf>
    <xf numFmtId="0" fontId="19" fillId="0" borderId="2" xfId="0" applyFont="1" applyBorder="1" applyAlignment="1" quotePrefix="1">
      <alignment horizontal="left" wrapText="1"/>
    </xf>
    <xf numFmtId="0" fontId="19" fillId="0" borderId="3" xfId="0" applyFont="1" applyBorder="1" applyAlignment="1" quotePrefix="1">
      <alignment horizontal="left" wrapText="1"/>
    </xf>
    <xf numFmtId="0" fontId="22" fillId="0" borderId="1" xfId="21" applyFont="1" applyBorder="1">
      <alignment/>
      <protection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20" fillId="0" borderId="1" xfId="21" applyFont="1" applyBorder="1" applyAlignment="1">
      <alignment horizontal="left"/>
      <protection/>
    </xf>
    <xf numFmtId="0" fontId="20" fillId="0" borderId="4" xfId="21" applyFont="1" applyBorder="1" applyAlignment="1" quotePrefix="1">
      <alignment horizontal="left"/>
      <protection/>
    </xf>
    <xf numFmtId="0" fontId="29" fillId="0" borderId="0" xfId="22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2" xfId="0" applyFont="1" applyBorder="1" applyAlignment="1" quotePrefix="1">
      <alignment/>
    </xf>
    <xf numFmtId="0" fontId="19" fillId="0" borderId="2" xfId="0" applyFont="1" applyBorder="1" applyAlignment="1" quotePrefix="1">
      <alignment horizontal="left"/>
    </xf>
    <xf numFmtId="0" fontId="19" fillId="0" borderId="3" xfId="0" applyFont="1" applyBorder="1" applyAlignment="1" quotePrefix="1">
      <alignment horizontal="left"/>
    </xf>
    <xf numFmtId="0" fontId="19" fillId="0" borderId="3" xfId="0" applyFont="1" applyBorder="1" applyAlignment="1" quotePrefix="1">
      <alignment/>
    </xf>
    <xf numFmtId="3" fontId="19" fillId="0" borderId="1" xfId="21" applyNumberFormat="1" applyFont="1" applyBorder="1" applyAlignment="1">
      <alignment horizontal="right"/>
      <protection/>
    </xf>
    <xf numFmtId="3" fontId="19" fillId="0" borderId="1" xfId="0" applyNumberFormat="1" applyFont="1" applyBorder="1" applyAlignment="1">
      <alignment horizontal="right" wrapText="1"/>
    </xf>
    <xf numFmtId="3" fontId="19" fillId="0" borderId="1" xfId="21" applyNumberFormat="1" applyFont="1" applyBorder="1" applyAlignment="1">
      <alignment horizontal="right"/>
      <protection/>
    </xf>
    <xf numFmtId="0" fontId="20" fillId="0" borderId="1" xfId="21" applyFont="1" applyBorder="1" applyAlignment="1">
      <alignment horizontal="left"/>
      <protection/>
    </xf>
    <xf numFmtId="0" fontId="20" fillId="0" borderId="4" xfId="21" applyFont="1" applyBorder="1" applyAlignment="1" quotePrefix="1">
      <alignment horizontal="left"/>
      <protection/>
    </xf>
    <xf numFmtId="0" fontId="19" fillId="0" borderId="0" xfId="22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2" xfId="21" applyFont="1" applyBorder="1" applyAlignment="1">
      <alignment horizontal="left"/>
      <protection/>
    </xf>
    <xf numFmtId="0" fontId="19" fillId="0" borderId="1" xfId="22" applyFont="1" applyBorder="1" applyAlignment="1">
      <alignment horizontal="left"/>
      <protection/>
    </xf>
    <xf numFmtId="0" fontId="19" fillId="0" borderId="4" xfId="22" applyFont="1" applyBorder="1" applyAlignment="1">
      <alignment horizontal="left"/>
      <protection/>
    </xf>
    <xf numFmtId="0" fontId="19" fillId="0" borderId="2" xfId="22" applyFont="1" applyBorder="1" applyAlignment="1">
      <alignment horizontal="left"/>
      <protection/>
    </xf>
    <xf numFmtId="0" fontId="19" fillId="0" borderId="1" xfId="22" applyFont="1" applyBorder="1">
      <alignment/>
      <protection/>
    </xf>
    <xf numFmtId="0" fontId="19" fillId="0" borderId="4" xfId="22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2" xfId="22" applyFont="1" applyBorder="1">
      <alignment/>
      <protection/>
    </xf>
    <xf numFmtId="0" fontId="19" fillId="0" borderId="0" xfId="22" applyFont="1">
      <alignment/>
      <protection/>
    </xf>
    <xf numFmtId="0" fontId="19" fillId="0" borderId="0" xfId="21" applyFont="1">
      <alignment/>
      <protection/>
    </xf>
    <xf numFmtId="0" fontId="19" fillId="0" borderId="3" xfId="22" applyFont="1" applyBorder="1">
      <alignment/>
      <protection/>
    </xf>
    <xf numFmtId="0" fontId="8" fillId="0" borderId="9" xfId="21" applyFont="1" applyBorder="1" applyAlignment="1">
      <alignment horizontal="right"/>
      <protection/>
    </xf>
    <xf numFmtId="0" fontId="18" fillId="0" borderId="10" xfId="21" applyFont="1" applyBorder="1">
      <alignment/>
      <protection/>
    </xf>
    <xf numFmtId="0" fontId="18" fillId="0" borderId="7" xfId="21" applyFont="1" applyBorder="1" applyAlignment="1">
      <alignment/>
      <protection/>
    </xf>
    <xf numFmtId="3" fontId="19" fillId="0" borderId="2" xfId="21" applyNumberFormat="1" applyFont="1" applyBorder="1" applyAlignment="1">
      <alignment horizontal="centerContinuous" vertical="center" wrapText="1"/>
      <protection/>
    </xf>
    <xf numFmtId="3" fontId="19" fillId="0" borderId="3" xfId="21" applyNumberFormat="1" applyFont="1" applyBorder="1" applyAlignment="1">
      <alignment horizontal="centerContinuous" vertical="center" wrapText="1"/>
      <protection/>
    </xf>
    <xf numFmtId="0" fontId="22" fillId="0" borderId="1" xfId="21" applyFont="1" applyBorder="1" applyAlignment="1">
      <alignment horizontal="right"/>
      <protection/>
    </xf>
    <xf numFmtId="3" fontId="18" fillId="0" borderId="9" xfId="21" applyNumberFormat="1" applyFont="1" applyBorder="1" applyAlignment="1" applyProtection="1">
      <alignment horizontal="right" vertical="top"/>
      <protection locked="0"/>
    </xf>
    <xf numFmtId="0" fontId="19" fillId="0" borderId="1" xfId="19" applyFont="1" applyBorder="1" applyAlignment="1">
      <alignment horizontal="centerContinuous" vertical="center"/>
      <protection/>
    </xf>
    <xf numFmtId="0" fontId="19" fillId="0" borderId="2" xfId="21" applyFont="1" applyBorder="1" applyAlignment="1">
      <alignment horizontal="centerContinuous"/>
      <protection/>
    </xf>
    <xf numFmtId="0" fontId="31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 quotePrefix="1">
      <alignment horizontal="left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left" wrapText="1"/>
    </xf>
    <xf numFmtId="3" fontId="21" fillId="0" borderId="1" xfId="0" applyNumberFormat="1" applyFont="1" applyBorder="1" applyAlignment="1" quotePrefix="1">
      <alignment horizontal="right" wrapText="1"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3" xfId="19" applyFont="1" applyBorder="1" applyAlignment="1" applyProtection="1">
      <alignment vertical="center"/>
      <protection hidden="1"/>
    </xf>
    <xf numFmtId="0" fontId="6" fillId="0" borderId="0" xfId="19" applyFont="1" applyAlignment="1" applyProtection="1">
      <alignment vertical="center" wrapText="1"/>
      <protection hidden="1"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wrapText="1"/>
    </xf>
    <xf numFmtId="3" fontId="7" fillId="0" borderId="9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21" fillId="0" borderId="1" xfId="0" applyFont="1" applyBorder="1" applyAlignment="1">
      <alignment horizontal="left" wrapText="1"/>
    </xf>
    <xf numFmtId="0" fontId="32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wrapText="1"/>
    </xf>
    <xf numFmtId="3" fontId="21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right"/>
    </xf>
    <xf numFmtId="3" fontId="19" fillId="0" borderId="1" xfId="0" applyNumberFormat="1" applyFont="1" applyFill="1" applyBorder="1" applyAlignment="1">
      <alignment/>
    </xf>
    <xf numFmtId="0" fontId="20" fillId="0" borderId="3" xfId="21" applyFont="1" applyBorder="1" applyAlignment="1" quotePrefix="1">
      <alignment/>
      <protection/>
    </xf>
    <xf numFmtId="0" fontId="20" fillId="0" borderId="3" xfId="21" applyFont="1" applyBorder="1" quotePrefix="1">
      <alignment/>
      <protection/>
    </xf>
    <xf numFmtId="0" fontId="17" fillId="0" borderId="1" xfId="0" applyFont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3" fontId="19" fillId="0" borderId="1" xfId="0" applyNumberFormat="1" applyFont="1" applyBorder="1" applyAlignment="1" quotePrefix="1">
      <alignment horizontal="right" wrapText="1"/>
    </xf>
    <xf numFmtId="0" fontId="17" fillId="0" borderId="1" xfId="19" applyFont="1" applyBorder="1" applyAlignment="1" applyProtection="1">
      <alignment vertical="center" wrapText="1"/>
      <protection hidden="1"/>
    </xf>
    <xf numFmtId="3" fontId="20" fillId="0" borderId="3" xfId="21" applyNumberFormat="1" applyFont="1" applyFill="1" applyBorder="1" applyAlignment="1">
      <alignment horizontal="right" vertical="top"/>
      <protection/>
    </xf>
    <xf numFmtId="3" fontId="34" fillId="0" borderId="3" xfId="21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6" fillId="0" borderId="1" xfId="19" applyFont="1" applyBorder="1" applyAlignment="1" applyProtection="1">
      <alignment horizontal="right"/>
      <protection hidden="1"/>
    </xf>
    <xf numFmtId="0" fontId="19" fillId="0" borderId="2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21" fillId="0" borderId="1" xfId="0" applyFont="1" applyBorder="1" applyAlignment="1">
      <alignment horizontal="centerContinuous" vertical="center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3" fontId="19" fillId="0" borderId="3" xfId="0" applyNumberFormat="1" applyFont="1" applyBorder="1" applyAlignment="1">
      <alignment/>
    </xf>
    <xf numFmtId="0" fontId="19" fillId="0" borderId="2" xfId="0" applyFont="1" applyBorder="1" applyAlignment="1">
      <alignment/>
    </xf>
    <xf numFmtId="0" fontId="0" fillId="0" borderId="0" xfId="0" applyAlignment="1">
      <alignment vertical="center"/>
    </xf>
    <xf numFmtId="3" fontId="18" fillId="0" borderId="3" xfId="21" applyNumberFormat="1" applyFont="1" applyBorder="1" applyAlignment="1" applyProtection="1">
      <alignment horizontal="right" vertical="top"/>
      <protection locked="0"/>
    </xf>
    <xf numFmtId="0" fontId="19" fillId="0" borderId="12" xfId="21" applyFont="1" applyBorder="1" applyAlignment="1">
      <alignment horizontal="right" vertical="center"/>
      <protection/>
    </xf>
    <xf numFmtId="0" fontId="6" fillId="0" borderId="12" xfId="21" applyFont="1" applyBorder="1" applyAlignment="1">
      <alignment/>
      <protection/>
    </xf>
    <xf numFmtId="3" fontId="19" fillId="0" borderId="8" xfId="21" applyNumberFormat="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horizontal="right" vertical="center"/>
      <protection/>
    </xf>
    <xf numFmtId="0" fontId="6" fillId="0" borderId="8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7" fillId="0" borderId="1" xfId="21" applyNumberFormat="1" applyFont="1" applyBorder="1" applyAlignment="1">
      <alignment horizontal="right" vertical="top"/>
      <protection/>
    </xf>
    <xf numFmtId="3" fontId="17" fillId="0" borderId="3" xfId="21" applyNumberFormat="1" applyFont="1" applyBorder="1" applyAlignment="1">
      <alignment horizontal="right" vertical="top"/>
      <protection/>
    </xf>
    <xf numFmtId="3" fontId="19" fillId="0" borderId="3" xfId="2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right"/>
    </xf>
    <xf numFmtId="0" fontId="15" fillId="0" borderId="1" xfId="19" applyFont="1" applyBorder="1" applyProtection="1">
      <alignment/>
      <protection hidden="1"/>
    </xf>
    <xf numFmtId="3" fontId="15" fillId="0" borderId="1" xfId="19" applyNumberFormat="1" applyFont="1" applyBorder="1" applyAlignment="1" applyProtection="1">
      <alignment/>
      <protection hidden="1"/>
    </xf>
    <xf numFmtId="0" fontId="15" fillId="0" borderId="0" xfId="19" applyFont="1" applyProtection="1">
      <alignment/>
      <protection hidden="1"/>
    </xf>
    <xf numFmtId="3" fontId="15" fillId="0" borderId="1" xfId="19" applyNumberFormat="1" applyFont="1" applyBorder="1" applyAlignment="1" applyProtection="1">
      <alignment horizontal="right" vertical="center"/>
      <protection hidden="1"/>
    </xf>
    <xf numFmtId="173" fontId="21" fillId="0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/>
    </xf>
    <xf numFmtId="3" fontId="36" fillId="0" borderId="0" xfId="0" applyNumberFormat="1" applyFont="1" applyAlignment="1">
      <alignment/>
    </xf>
    <xf numFmtId="3" fontId="36" fillId="0" borderId="1" xfId="0" applyNumberFormat="1" applyFont="1" applyBorder="1" applyAlignment="1">
      <alignment/>
    </xf>
    <xf numFmtId="3" fontId="37" fillId="0" borderId="1" xfId="0" applyNumberFormat="1" applyFont="1" applyBorder="1" applyAlignment="1">
      <alignment/>
    </xf>
    <xf numFmtId="3" fontId="36" fillId="0" borderId="1" xfId="0" applyNumberFormat="1" applyFont="1" applyBorder="1" applyAlignment="1">
      <alignment vertical="center"/>
    </xf>
    <xf numFmtId="3" fontId="19" fillId="0" borderId="4" xfId="21" applyNumberFormat="1" applyFont="1" applyFill="1" applyBorder="1" applyAlignment="1">
      <alignment horizontal="right" vertical="top"/>
      <protection/>
    </xf>
    <xf numFmtId="3" fontId="6" fillId="0" borderId="1" xfId="0" applyNumberFormat="1" applyFont="1" applyBorder="1" applyAlignment="1">
      <alignment/>
    </xf>
    <xf numFmtId="0" fontId="19" fillId="0" borderId="4" xfId="22" applyFont="1" applyBorder="1" quotePrefix="1">
      <alignment/>
      <protection/>
    </xf>
    <xf numFmtId="3" fontId="19" fillId="0" borderId="3" xfId="21" applyNumberFormat="1" applyFont="1" applyBorder="1" applyAlignment="1" applyProtection="1">
      <alignment horizontal="right" vertical="top"/>
      <protection locked="0"/>
    </xf>
    <xf numFmtId="3" fontId="17" fillId="0" borderId="1" xfId="21" applyNumberFormat="1" applyFont="1" applyFill="1" applyBorder="1" applyAlignment="1">
      <alignment horizontal="right" vertical="top"/>
      <protection/>
    </xf>
    <xf numFmtId="3" fontId="6" fillId="0" borderId="9" xfId="0" applyNumberFormat="1" applyFont="1" applyBorder="1" applyAlignment="1">
      <alignment vertical="center"/>
    </xf>
    <xf numFmtId="182" fontId="6" fillId="0" borderId="1" xfId="0" applyNumberFormat="1" applyFont="1" applyFill="1" applyBorder="1" applyAlignment="1">
      <alignment/>
    </xf>
    <xf numFmtId="3" fontId="8" fillId="0" borderId="1" xfId="19" applyNumberFormat="1" applyFont="1" applyBorder="1" applyAlignment="1" applyProtection="1">
      <alignment horizontal="right" vertical="center"/>
      <protection hidden="1"/>
    </xf>
    <xf numFmtId="3" fontId="19" fillId="0" borderId="3" xfId="21" applyNumberFormat="1" applyFont="1" applyBorder="1" applyAlignment="1">
      <alignment horizontal="right" vertical="top"/>
      <protection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" fillId="0" borderId="1" xfId="19" applyFont="1" applyBorder="1" applyAlignment="1">
      <alignment horizontal="center"/>
      <protection/>
    </xf>
    <xf numFmtId="0" fontId="19" fillId="0" borderId="2" xfId="19" applyFont="1" applyBorder="1" applyAlignment="1">
      <alignment horizontal="centerContinuous" vertical="center"/>
      <protection/>
    </xf>
    <xf numFmtId="0" fontId="19" fillId="0" borderId="0" xfId="19" applyFont="1" applyAlignment="1" applyProtection="1">
      <alignment vertical="center" wrapText="1"/>
      <protection hidden="1"/>
    </xf>
    <xf numFmtId="0" fontId="6" fillId="0" borderId="1" xfId="19" applyFont="1" applyBorder="1" applyAlignment="1" applyProtection="1" quotePrefix="1">
      <alignment horizontal="left" indent="2"/>
      <protection hidden="1"/>
    </xf>
    <xf numFmtId="0" fontId="6" fillId="0" borderId="1" xfId="19" applyFont="1" applyBorder="1" applyAlignment="1" applyProtection="1" quotePrefix="1">
      <alignment horizontal="left" vertical="center" indent="2"/>
      <protection hidden="1"/>
    </xf>
    <xf numFmtId="0" fontId="5" fillId="0" borderId="1" xfId="19" applyFont="1" applyBorder="1" applyAlignment="1" applyProtection="1">
      <alignment horizontal="right" vertical="center"/>
      <protection hidden="1"/>
    </xf>
    <xf numFmtId="0" fontId="6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>
      <alignment/>
      <protection hidden="1"/>
    </xf>
    <xf numFmtId="3" fontId="6" fillId="0" borderId="1" xfId="19" applyNumberFormat="1" applyFont="1" applyBorder="1" applyAlignment="1" applyProtection="1">
      <alignment/>
      <protection hidden="1"/>
    </xf>
    <xf numFmtId="0" fontId="15" fillId="0" borderId="1" xfId="19" applyFont="1" applyBorder="1" applyAlignment="1" applyProtection="1">
      <alignment/>
      <protection hidden="1"/>
    </xf>
    <xf numFmtId="0" fontId="7" fillId="0" borderId="1" xfId="19" applyFont="1" applyBorder="1" applyAlignment="1" applyProtection="1">
      <alignment vertical="center"/>
      <protection hidden="1"/>
    </xf>
    <xf numFmtId="0" fontId="15" fillId="0" borderId="1" xfId="19" applyFont="1" applyBorder="1" applyAlignment="1" applyProtection="1">
      <alignment horizontal="right" vertical="center"/>
      <protection hidden="1"/>
    </xf>
    <xf numFmtId="0" fontId="15" fillId="0" borderId="1" xfId="19" applyFont="1" applyBorder="1" applyAlignment="1" applyProtection="1">
      <alignment vertical="center"/>
      <protection hidden="1"/>
    </xf>
    <xf numFmtId="0" fontId="15" fillId="0" borderId="0" xfId="19" applyFont="1" applyAlignment="1" applyProtection="1">
      <alignment vertical="center"/>
      <protection hidden="1"/>
    </xf>
    <xf numFmtId="3" fontId="15" fillId="0" borderId="1" xfId="19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left" vertical="center" wrapText="1"/>
    </xf>
    <xf numFmtId="3" fontId="20" fillId="0" borderId="11" xfId="21" applyNumberFormat="1" applyFont="1" applyFill="1" applyBorder="1" quotePrefix="1">
      <alignment/>
      <protection/>
    </xf>
    <xf numFmtId="0" fontId="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19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wrapText="1"/>
    </xf>
    <xf numFmtId="0" fontId="19" fillId="0" borderId="2" xfId="21" applyFont="1" applyBorder="1" applyAlignment="1">
      <alignment/>
      <protection/>
    </xf>
    <xf numFmtId="0" fontId="9" fillId="0" borderId="0" xfId="22" applyFont="1">
      <alignment/>
      <protection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>
      <alignment horizontal="left" wrapText="1"/>
    </xf>
    <xf numFmtId="3" fontId="6" fillId="0" borderId="5" xfId="19" applyNumberFormat="1" applyFont="1" applyBorder="1" applyAlignment="1" applyProtection="1">
      <alignment horizontal="right" vertical="center"/>
      <protection locked="0"/>
    </xf>
    <xf numFmtId="0" fontId="6" fillId="0" borderId="9" xfId="19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>
      <alignment horizontal="left" wrapText="1"/>
    </xf>
    <xf numFmtId="3" fontId="6" fillId="0" borderId="9" xfId="19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quotePrefix="1">
      <alignment vertical="center" wrapText="1"/>
    </xf>
    <xf numFmtId="3" fontId="36" fillId="0" borderId="1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19" fillId="0" borderId="1" xfId="0" applyFont="1" applyBorder="1" applyAlignment="1">
      <alignment horizontal="left" indent="3"/>
    </xf>
    <xf numFmtId="0" fontId="19" fillId="0" borderId="0" xfId="0" applyFont="1" applyAlignment="1">
      <alignment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182" fontId="21" fillId="0" borderId="1" xfId="0" applyNumberFormat="1" applyFont="1" applyBorder="1" applyAlignment="1">
      <alignment/>
    </xf>
    <xf numFmtId="0" fontId="6" fillId="0" borderId="5" xfId="19" applyFont="1" applyBorder="1" applyAlignment="1" applyProtection="1">
      <alignment horizontal="right"/>
      <protection hidden="1"/>
    </xf>
    <xf numFmtId="0" fontId="15" fillId="0" borderId="9" xfId="19" applyFont="1" applyBorder="1" applyProtection="1">
      <alignment/>
      <protection hidden="1"/>
    </xf>
    <xf numFmtId="3" fontId="15" fillId="0" borderId="9" xfId="19" applyNumberFormat="1" applyFont="1" applyBorder="1" applyAlignment="1" applyProtection="1">
      <alignment/>
      <protection hidden="1"/>
    </xf>
    <xf numFmtId="0" fontId="6" fillId="0" borderId="9" xfId="19" applyFont="1" applyBorder="1" applyAlignment="1" applyProtection="1">
      <alignment horizontal="right"/>
      <protection hidden="1"/>
    </xf>
    <xf numFmtId="3" fontId="8" fillId="0" borderId="1" xfId="19" applyNumberFormat="1" applyFont="1" applyBorder="1" applyAlignment="1" applyProtection="1">
      <alignment horizontal="right" vertical="center"/>
      <protection locked="0"/>
    </xf>
    <xf numFmtId="3" fontId="6" fillId="0" borderId="1" xfId="19" applyNumberFormat="1" applyFont="1" applyBorder="1" applyAlignment="1" applyProtection="1">
      <alignment horizontal="right" vertical="center"/>
      <protection locked="0"/>
    </xf>
    <xf numFmtId="3" fontId="8" fillId="0" borderId="1" xfId="19" applyNumberFormat="1" applyFont="1" applyBorder="1" applyProtection="1">
      <alignment/>
      <protection hidden="1"/>
    </xf>
    <xf numFmtId="3" fontId="6" fillId="0" borderId="5" xfId="19" applyNumberFormat="1" applyFont="1" applyBorder="1" applyAlignment="1" applyProtection="1">
      <alignment horizontal="right" vertical="center"/>
      <protection locked="0"/>
    </xf>
    <xf numFmtId="3" fontId="6" fillId="0" borderId="9" xfId="19" applyNumberFormat="1" applyFont="1" applyBorder="1" applyAlignment="1" applyProtection="1">
      <alignment horizontal="right" vertical="center"/>
      <protection locked="0"/>
    </xf>
    <xf numFmtId="3" fontId="6" fillId="0" borderId="1" xfId="19" applyNumberFormat="1" applyFont="1" applyBorder="1" applyAlignment="1" applyProtection="1">
      <alignment horizontal="right" vertical="center"/>
      <protection hidden="1"/>
    </xf>
    <xf numFmtId="3" fontId="6" fillId="0" borderId="5" xfId="19" applyNumberFormat="1" applyFont="1" applyBorder="1" applyAlignment="1" applyProtection="1">
      <alignment horizontal="right" vertical="center"/>
      <protection hidden="1"/>
    </xf>
    <xf numFmtId="3" fontId="6" fillId="0" borderId="9" xfId="19" applyNumberFormat="1" applyFont="1" applyBorder="1" applyAlignment="1" applyProtection="1">
      <alignment horizontal="right" vertical="center"/>
      <protection hidden="1"/>
    </xf>
    <xf numFmtId="0" fontId="6" fillId="0" borderId="14" xfId="19" applyFont="1" applyBorder="1" applyAlignment="1" applyProtection="1">
      <alignment horizontal="left" vertical="center" wrapText="1" indent="2"/>
      <protection hidden="1"/>
    </xf>
    <xf numFmtId="10" fontId="15" fillId="0" borderId="0" xfId="2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>
      <alignment wrapText="1"/>
    </xf>
    <xf numFmtId="0" fontId="11" fillId="0" borderId="0" xfId="19" applyFont="1" applyProtection="1">
      <alignment/>
      <protection hidden="1"/>
    </xf>
    <xf numFmtId="3" fontId="8" fillId="0" borderId="1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 applyProtection="1">
      <alignment/>
      <protection hidden="1"/>
    </xf>
    <xf numFmtId="0" fontId="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173" fontId="21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/>
    </xf>
    <xf numFmtId="3" fontId="17" fillId="0" borderId="1" xfId="19" applyNumberFormat="1" applyFont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12" fillId="0" borderId="0" xfId="21" applyNumberFormat="1" applyFont="1" applyBorder="1" applyAlignment="1">
      <alignment horizontal="centerContinuous" vertical="center" wrapText="1"/>
      <protection/>
    </xf>
    <xf numFmtId="3" fontId="10" fillId="0" borderId="0" xfId="21" applyNumberFormat="1" applyFont="1" applyBorder="1">
      <alignment/>
      <protection/>
    </xf>
    <xf numFmtId="0" fontId="30" fillId="0" borderId="0" xfId="22" applyFont="1" applyBorder="1">
      <alignment/>
      <protection/>
    </xf>
    <xf numFmtId="0" fontId="20" fillId="0" borderId="2" xfId="21" applyFont="1" applyBorder="1">
      <alignment/>
      <protection/>
    </xf>
    <xf numFmtId="0" fontId="8" fillId="0" borderId="1" xfId="19" applyFont="1" applyBorder="1" applyAlignment="1" applyProtection="1">
      <alignment horizontal="right" vertical="center"/>
      <protection hidden="1"/>
    </xf>
    <xf numFmtId="0" fontId="8" fillId="0" borderId="1" xfId="19" applyFont="1" applyBorder="1" applyAlignment="1" applyProtection="1">
      <alignment vertical="center"/>
      <protection hidden="1"/>
    </xf>
    <xf numFmtId="0" fontId="8" fillId="0" borderId="0" xfId="19" applyFont="1" applyAlignment="1" applyProtection="1">
      <alignment vertical="center"/>
      <protection hidden="1"/>
    </xf>
    <xf numFmtId="0" fontId="8" fillId="0" borderId="5" xfId="19" applyFont="1" applyBorder="1" applyAlignment="1" applyProtection="1">
      <alignment horizontal="right"/>
      <protection hidden="1"/>
    </xf>
    <xf numFmtId="0" fontId="8" fillId="0" borderId="0" xfId="19" applyFont="1" applyProtection="1">
      <alignment/>
      <protection hidden="1"/>
    </xf>
    <xf numFmtId="0" fontId="8" fillId="0" borderId="1" xfId="19" applyFont="1" applyBorder="1" applyAlignment="1" applyProtection="1">
      <alignment horizontal="right"/>
      <protection hidden="1"/>
    </xf>
    <xf numFmtId="182" fontId="6" fillId="0" borderId="1" xfId="19" applyNumberFormat="1" applyFont="1" applyBorder="1" applyAlignment="1" applyProtection="1">
      <alignment horizontal="right" vertical="center"/>
      <protection hidden="1"/>
    </xf>
    <xf numFmtId="3" fontId="11" fillId="0" borderId="1" xfId="19" applyNumberFormat="1" applyFont="1" applyBorder="1" applyAlignment="1" applyProtection="1">
      <alignment horizontal="right" vertical="center"/>
      <protection locked="0"/>
    </xf>
    <xf numFmtId="3" fontId="11" fillId="0" borderId="1" xfId="19" applyNumberFormat="1" applyFont="1" applyBorder="1" applyAlignment="1" applyProtection="1">
      <alignment horizontal="right" vertical="center"/>
      <protection locked="0"/>
    </xf>
    <xf numFmtId="3" fontId="6" fillId="0" borderId="12" xfId="19" applyNumberFormat="1" applyFont="1" applyBorder="1" applyAlignment="1" applyProtection="1">
      <alignment/>
      <protection hidden="1"/>
    </xf>
    <xf numFmtId="3" fontId="6" fillId="0" borderId="10" xfId="19" applyNumberFormat="1" applyFont="1" applyBorder="1" applyAlignment="1" applyProtection="1">
      <alignment/>
      <protection hidden="1"/>
    </xf>
    <xf numFmtId="3" fontId="6" fillId="0" borderId="0" xfId="19" applyNumberFormat="1" applyFont="1" applyProtection="1">
      <alignment/>
      <protection hidden="1"/>
    </xf>
    <xf numFmtId="3" fontId="19" fillId="0" borderId="1" xfId="20" applyNumberFormat="1" applyFont="1" applyBorder="1" applyAlignment="1">
      <alignment horizontal="center" vertical="center" wrapText="1"/>
      <protection/>
    </xf>
    <xf numFmtId="0" fontId="6" fillId="0" borderId="14" xfId="19" applyFont="1" applyBorder="1" applyAlignment="1" applyProtection="1" quotePrefix="1">
      <alignment horizontal="left" vertical="center" indent="1"/>
      <protection hidden="1"/>
    </xf>
    <xf numFmtId="0" fontId="6" fillId="0" borderId="14" xfId="19" applyFont="1" applyBorder="1" applyAlignment="1" applyProtection="1">
      <alignment horizontal="left" vertical="center" indent="1"/>
      <protection hidden="1"/>
    </xf>
    <xf numFmtId="182" fontId="6" fillId="0" borderId="1" xfId="19" applyNumberFormat="1" applyFont="1" applyBorder="1" applyAlignment="1" applyProtection="1">
      <alignment horizontal="right" vertical="center"/>
      <protection hidden="1"/>
    </xf>
    <xf numFmtId="3" fontId="6" fillId="0" borderId="4" xfId="19" applyNumberFormat="1" applyFont="1" applyBorder="1" applyAlignment="1" applyProtection="1">
      <alignment/>
      <protection hidden="1"/>
    </xf>
    <xf numFmtId="3" fontId="6" fillId="0" borderId="0" xfId="19" applyNumberFormat="1" applyFont="1" applyBorder="1" applyProtection="1">
      <alignment/>
      <protection hidden="1"/>
    </xf>
    <xf numFmtId="0" fontId="6" fillId="0" borderId="0" xfId="0" applyFont="1" applyBorder="1" applyAlignment="1">
      <alignment/>
    </xf>
    <xf numFmtId="0" fontId="2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3" fontId="19" fillId="0" borderId="1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Fill="1" applyBorder="1" applyProtection="1">
      <alignment/>
      <protection locked="0"/>
    </xf>
    <xf numFmtId="3" fontId="19" fillId="0" borderId="4" xfId="21" applyNumberFormat="1" applyFont="1" applyFill="1" applyBorder="1">
      <alignment/>
      <protection/>
    </xf>
    <xf numFmtId="3" fontId="19" fillId="0" borderId="4" xfId="21" applyNumberFormat="1" applyFont="1" applyBorder="1">
      <alignment/>
      <protection/>
    </xf>
    <xf numFmtId="3" fontId="19" fillId="0" borderId="1" xfId="21" applyNumberFormat="1" applyFont="1" applyBorder="1" applyProtection="1">
      <alignment/>
      <protection locked="0"/>
    </xf>
    <xf numFmtId="3" fontId="23" fillId="0" borderId="4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Border="1" applyAlignment="1">
      <alignment vertical="center" wrapText="1"/>
      <protection/>
    </xf>
    <xf numFmtId="3" fontId="19" fillId="0" borderId="1" xfId="21" applyNumberFormat="1" applyFont="1" applyBorder="1" applyAlignment="1">
      <alignment vertical="center" wrapText="1"/>
      <protection/>
    </xf>
    <xf numFmtId="3" fontId="19" fillId="0" borderId="5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Border="1" applyProtection="1">
      <alignment/>
      <protection locked="0"/>
    </xf>
    <xf numFmtId="3" fontId="19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vertical="center"/>
    </xf>
    <xf numFmtId="3" fontId="23" fillId="0" borderId="1" xfId="19" applyNumberFormat="1" applyFont="1" applyBorder="1" applyAlignment="1" applyProtection="1">
      <alignment vertical="center"/>
      <protection hidden="1"/>
    </xf>
    <xf numFmtId="0" fontId="19" fillId="0" borderId="1" xfId="0" applyFont="1" applyBorder="1" applyAlignment="1">
      <alignment horizontal="centerContinuous" vertical="center"/>
    </xf>
    <xf numFmtId="0" fontId="19" fillId="0" borderId="1" xfId="0" applyFont="1" applyBorder="1" applyAlignment="1">
      <alignment horizontal="centerContinuous"/>
    </xf>
    <xf numFmtId="0" fontId="21" fillId="0" borderId="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9" fillId="0" borderId="12" xfId="0" applyFont="1" applyBorder="1" applyAlignment="1" applyProtection="1">
      <alignment horizontal="left" vertical="center"/>
      <protection hidden="1"/>
    </xf>
    <xf numFmtId="0" fontId="21" fillId="0" borderId="4" xfId="0" applyFont="1" applyBorder="1" applyAlignment="1" applyProtection="1">
      <alignment vertical="center"/>
      <protection hidden="1"/>
    </xf>
    <xf numFmtId="0" fontId="21" fillId="0" borderId="1" xfId="0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19" fillId="0" borderId="4" xfId="0" applyFont="1" applyBorder="1" applyAlignment="1" applyProtection="1">
      <alignment vertical="center"/>
      <protection hidden="1"/>
    </xf>
    <xf numFmtId="0" fontId="21" fillId="0" borderId="4" xfId="0" applyFont="1" applyBorder="1" applyAlignment="1" applyProtection="1">
      <alignment vertical="center"/>
      <protection hidden="1"/>
    </xf>
    <xf numFmtId="0" fontId="19" fillId="0" borderId="4" xfId="0" applyFont="1" applyBorder="1" applyAlignment="1">
      <alignment horizontal="right" vertical="center"/>
    </xf>
    <xf numFmtId="3" fontId="21" fillId="0" borderId="1" xfId="0" applyNumberFormat="1" applyFont="1" applyBorder="1" applyAlignment="1">
      <alignment vertical="center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4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21" fillId="0" borderId="1" xfId="0" applyFont="1" applyBorder="1" applyAlignment="1" quotePrefix="1">
      <alignment vertical="center"/>
    </xf>
    <xf numFmtId="3" fontId="21" fillId="0" borderId="1" xfId="0" applyNumberFormat="1" applyFont="1" applyBorder="1" applyAlignment="1" applyProtection="1">
      <alignment horizontal="right" vertical="center"/>
      <protection locked="0"/>
    </xf>
    <xf numFmtId="3" fontId="19" fillId="0" borderId="1" xfId="0" applyNumberFormat="1" applyFont="1" applyBorder="1" applyAlignment="1" applyProtection="1">
      <alignment horizontal="right" vertical="center"/>
      <protection locked="0"/>
    </xf>
    <xf numFmtId="0" fontId="21" fillId="0" borderId="1" xfId="0" applyFont="1" applyBorder="1" applyAlignment="1" applyProtection="1" quotePrefix="1">
      <alignment vertical="center"/>
      <protection hidden="1"/>
    </xf>
    <xf numFmtId="0" fontId="19" fillId="0" borderId="1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>
      <alignment vertical="center"/>
    </xf>
    <xf numFmtId="0" fontId="21" fillId="0" borderId="3" xfId="0" applyFont="1" applyBorder="1" applyAlignment="1" applyProtection="1">
      <alignment vertical="center"/>
      <protection hidden="1"/>
    </xf>
    <xf numFmtId="0" fontId="19" fillId="0" borderId="5" xfId="0" applyFont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vertical="center"/>
      <protection hidden="1"/>
    </xf>
    <xf numFmtId="3" fontId="19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 applyProtection="1">
      <alignment horizontal="right" vertical="center"/>
      <protection locked="0"/>
    </xf>
    <xf numFmtId="3" fontId="19" fillId="0" borderId="1" xfId="0" applyNumberFormat="1" applyFont="1" applyBorder="1" applyAlignment="1" applyProtection="1">
      <alignment horizontal="right" vertical="center"/>
      <protection locked="0"/>
    </xf>
    <xf numFmtId="0" fontId="19" fillId="0" borderId="4" xfId="0" applyFont="1" applyBorder="1" applyAlignment="1" applyProtection="1">
      <alignment horizontal="left" vertical="center" wrapText="1"/>
      <protection hidden="1"/>
    </xf>
    <xf numFmtId="0" fontId="19" fillId="0" borderId="4" xfId="0" applyFont="1" applyBorder="1" applyAlignment="1">
      <alignment horizontal="centerContinuous" vertical="center"/>
    </xf>
    <xf numFmtId="0" fontId="19" fillId="0" borderId="2" xfId="0" applyFont="1" applyBorder="1" applyAlignment="1" applyProtection="1" quotePrefix="1">
      <alignment vertical="center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21" fillId="0" borderId="2" xfId="0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 quotePrefix="1">
      <alignment vertical="center"/>
      <protection hidden="1"/>
    </xf>
    <xf numFmtId="3" fontId="19" fillId="0" borderId="1" xfId="0" applyNumberFormat="1" applyFont="1" applyBorder="1" applyAlignment="1" applyProtection="1">
      <alignment horizontal="right" vertical="center"/>
      <protection hidden="1"/>
    </xf>
    <xf numFmtId="0" fontId="38" fillId="0" borderId="0" xfId="20" applyFont="1" applyAlignment="1">
      <alignment horizontal="centerContinuous"/>
      <protection/>
    </xf>
    <xf numFmtId="3" fontId="38" fillId="0" borderId="0" xfId="20" applyNumberFormat="1" applyFont="1" applyAlignment="1">
      <alignment horizontal="centerContinuous"/>
      <protection/>
    </xf>
    <xf numFmtId="0" fontId="39" fillId="0" borderId="0" xfId="0" applyFont="1" applyAlignment="1">
      <alignment/>
    </xf>
    <xf numFmtId="0" fontId="40" fillId="0" borderId="0" xfId="19" applyFont="1" applyBorder="1" applyAlignment="1" applyProtection="1">
      <alignment horizontal="centerContinuous" vertical="center" wrapText="1"/>
      <protection hidden="1"/>
    </xf>
    <xf numFmtId="0" fontId="38" fillId="0" borderId="0" xfId="19" applyFont="1" applyBorder="1" applyAlignment="1" applyProtection="1">
      <alignment horizontal="centerContinuous" vertical="center" wrapText="1"/>
      <protection hidden="1"/>
    </xf>
    <xf numFmtId="3" fontId="38" fillId="0" borderId="0" xfId="19" applyNumberFormat="1" applyFont="1" applyAlignment="1" applyProtection="1">
      <alignment horizontal="centerContinuous" vertical="center" wrapText="1"/>
      <protection hidden="1"/>
    </xf>
    <xf numFmtId="3" fontId="15" fillId="0" borderId="6" xfId="20" applyNumberFormat="1" applyFont="1" applyBorder="1" applyAlignment="1">
      <alignment horizontal="left" vertical="center"/>
      <protection/>
    </xf>
    <xf numFmtId="0" fontId="6" fillId="0" borderId="5" xfId="19" applyFont="1" applyBorder="1" applyAlignment="1">
      <alignment horizontal="centerContinuous" vertical="center" wrapText="1"/>
      <protection/>
    </xf>
    <xf numFmtId="0" fontId="6" fillId="0" borderId="11" xfId="19" applyFont="1" applyBorder="1" applyAlignment="1">
      <alignment horizontal="centerContinuous" vertical="center"/>
      <protection/>
    </xf>
    <xf numFmtId="0" fontId="7" fillId="0" borderId="4" xfId="19" applyFont="1" applyBorder="1" applyAlignment="1" applyProtection="1">
      <alignment vertical="center"/>
      <protection hidden="1"/>
    </xf>
    <xf numFmtId="0" fontId="6" fillId="0" borderId="4" xfId="19" applyFont="1" applyBorder="1" applyAlignment="1" applyProtection="1">
      <alignment vertical="center"/>
      <protection hidden="1"/>
    </xf>
    <xf numFmtId="3" fontId="15" fillId="0" borderId="0" xfId="19" applyNumberFormat="1" applyFont="1" applyBorder="1" applyAlignment="1" applyProtection="1">
      <alignment horizontal="right" vertical="center"/>
      <protection hidden="1"/>
    </xf>
    <xf numFmtId="10" fontId="6" fillId="0" borderId="8" xfId="20" applyNumberFormat="1" applyFont="1" applyBorder="1" applyAlignment="1" applyProtection="1">
      <alignment horizontal="right" vertical="center"/>
      <protection locked="0"/>
    </xf>
    <xf numFmtId="0" fontId="15" fillId="0" borderId="4" xfId="19" applyFont="1" applyBorder="1" applyAlignment="1" applyProtection="1">
      <alignment vertical="center"/>
      <protection hidden="1"/>
    </xf>
    <xf numFmtId="0" fontId="6" fillId="0" borderId="2" xfId="21" applyFont="1" applyBorder="1" applyAlignment="1" quotePrefix="1">
      <alignment wrapText="1"/>
      <protection/>
    </xf>
    <xf numFmtId="0" fontId="6" fillId="0" borderId="2" xfId="19" applyFont="1" applyBorder="1" applyAlignment="1" applyProtection="1" quotePrefix="1">
      <alignment vertical="center" wrapText="1"/>
      <protection hidden="1"/>
    </xf>
    <xf numFmtId="0" fontId="6" fillId="0" borderId="4" xfId="19" applyFont="1" applyBorder="1" applyAlignment="1" applyProtection="1">
      <alignment vertical="center" wrapText="1"/>
      <protection hidden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3" fontId="1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Continuous" vertical="center"/>
    </xf>
    <xf numFmtId="0" fontId="28" fillId="0" borderId="1" xfId="0" applyFont="1" applyBorder="1" applyAlignment="1">
      <alignment horizontal="centerContinuous" vertical="center"/>
    </xf>
    <xf numFmtId="0" fontId="28" fillId="0" borderId="1" xfId="0" applyFont="1" applyBorder="1" applyAlignment="1">
      <alignment horizontal="center" vertical="center" wrapText="1"/>
    </xf>
    <xf numFmtId="3" fontId="28" fillId="0" borderId="1" xfId="20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9" fillId="0" borderId="1" xfId="0" applyFont="1" applyBorder="1" applyAlignment="1" quotePrefix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0" fontId="37" fillId="0" borderId="1" xfId="0" applyFont="1" applyBorder="1" applyAlignment="1">
      <alignment/>
    </xf>
    <xf numFmtId="3" fontId="37" fillId="0" borderId="1" xfId="0" applyNumberFormat="1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0" fontId="19" fillId="0" borderId="1" xfId="0" applyFont="1" applyBorder="1" applyAlignment="1" applyProtection="1">
      <alignment vertical="center" wrapText="1"/>
      <protection hidden="1"/>
    </xf>
    <xf numFmtId="0" fontId="21" fillId="0" borderId="9" xfId="0" applyFont="1" applyBorder="1" applyAlignment="1">
      <alignment horizontal="right" vertical="center"/>
    </xf>
    <xf numFmtId="3" fontId="19" fillId="0" borderId="1" xfId="0" applyNumberFormat="1" applyFont="1" applyBorder="1" applyAlignment="1" applyProtection="1">
      <alignment vertical="center"/>
      <protection hidden="1"/>
    </xf>
    <xf numFmtId="3" fontId="21" fillId="0" borderId="1" xfId="0" applyNumberFormat="1" applyFont="1" applyBorder="1" applyAlignment="1" applyProtection="1">
      <alignment vertical="center"/>
      <protection hidden="1"/>
    </xf>
    <xf numFmtId="0" fontId="21" fillId="0" borderId="4" xfId="0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0" borderId="9" xfId="0" applyFont="1" applyBorder="1" applyAlignment="1" applyProtection="1">
      <alignment horizontal="left" vertical="center"/>
      <protection hidden="1"/>
    </xf>
    <xf numFmtId="3" fontId="19" fillId="0" borderId="9" xfId="0" applyNumberFormat="1" applyFont="1" applyBorder="1" applyAlignment="1">
      <alignment vertical="center"/>
    </xf>
    <xf numFmtId="16" fontId="19" fillId="0" borderId="1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 quotePrefix="1">
      <alignment vertical="center"/>
    </xf>
    <xf numFmtId="3" fontId="36" fillId="0" borderId="1" xfId="20" applyNumberFormat="1" applyFont="1" applyBorder="1" applyAlignment="1" applyProtection="1">
      <alignment horizontal="right" vertical="center"/>
      <protection locked="0"/>
    </xf>
    <xf numFmtId="3" fontId="43" fillId="0" borderId="1" xfId="20" applyNumberFormat="1" applyFont="1" applyBorder="1" applyAlignment="1" applyProtection="1">
      <alignment horizontal="right" vertical="center"/>
      <protection locked="0"/>
    </xf>
    <xf numFmtId="3" fontId="44" fillId="0" borderId="1" xfId="20" applyNumberFormat="1" applyFont="1" applyBorder="1" applyAlignment="1" applyProtection="1">
      <alignment horizontal="right" vertical="center"/>
      <protection locked="0"/>
    </xf>
    <xf numFmtId="3" fontId="36" fillId="0" borderId="5" xfId="20" applyNumberFormat="1" applyFont="1" applyBorder="1" applyAlignment="1" applyProtection="1">
      <alignment horizontal="right" vertical="center"/>
      <protection locked="0"/>
    </xf>
    <xf numFmtId="3" fontId="36" fillId="0" borderId="9" xfId="20" applyNumberFormat="1" applyFont="1" applyBorder="1" applyAlignment="1" applyProtection="1">
      <alignment horizontal="right" vertical="center"/>
      <protection locked="0"/>
    </xf>
    <xf numFmtId="3" fontId="43" fillId="0" borderId="5" xfId="20" applyNumberFormat="1" applyFont="1" applyBorder="1" applyAlignment="1" applyProtection="1">
      <alignment horizontal="right" vertical="center"/>
      <protection locked="0"/>
    </xf>
    <xf numFmtId="3" fontId="44" fillId="0" borderId="9" xfId="20" applyNumberFormat="1" applyFont="1" applyBorder="1" applyAlignment="1" applyProtection="1">
      <alignment horizontal="right" vertical="center"/>
      <protection locked="0"/>
    </xf>
    <xf numFmtId="3" fontId="36" fillId="0" borderId="0" xfId="19" applyNumberFormat="1" applyFont="1" applyProtection="1">
      <alignment/>
      <protection hidden="1"/>
    </xf>
    <xf numFmtId="3" fontId="37" fillId="0" borderId="1" xfId="20" applyNumberFormat="1" applyFont="1" applyBorder="1" applyAlignment="1" applyProtection="1">
      <alignment horizontal="right" vertical="center"/>
      <protection locked="0"/>
    </xf>
    <xf numFmtId="3" fontId="6" fillId="0" borderId="12" xfId="19" applyNumberFormat="1" applyFont="1" applyBorder="1" applyAlignment="1" applyProtection="1">
      <alignment horizontal="right" vertical="center"/>
      <protection locked="0"/>
    </xf>
    <xf numFmtId="3" fontId="6" fillId="0" borderId="10" xfId="19" applyNumberFormat="1" applyFont="1" applyBorder="1" applyAlignment="1" applyProtection="1">
      <alignment horizontal="right" vertical="center"/>
      <protection locked="0"/>
    </xf>
    <xf numFmtId="3" fontId="42" fillId="0" borderId="0" xfId="0" applyNumberFormat="1" applyFont="1" applyFill="1" applyAlignment="1">
      <alignment horizontal="centerContinuous"/>
    </xf>
    <xf numFmtId="3" fontId="45" fillId="0" borderId="0" xfId="0" applyNumberFormat="1" applyFont="1" applyFill="1" applyAlignment="1">
      <alignment horizontal="centerContinuous"/>
    </xf>
    <xf numFmtId="3" fontId="41" fillId="0" borderId="0" xfId="0" applyNumberFormat="1" applyFont="1" applyFill="1" applyAlignment="1">
      <alignment/>
    </xf>
    <xf numFmtId="3" fontId="45" fillId="0" borderId="1" xfId="0" applyNumberFormat="1" applyFont="1" applyFill="1" applyBorder="1" applyAlignment="1">
      <alignment horizontal="right"/>
    </xf>
    <xf numFmtId="3" fontId="46" fillId="0" borderId="0" xfId="21" applyNumberFormat="1" applyFont="1" applyAlignment="1">
      <alignment horizontal="centerContinuous" vertical="center" wrapText="1"/>
      <protection/>
    </xf>
    <xf numFmtId="3" fontId="41" fillId="0" borderId="0" xfId="22" applyNumberFormat="1" applyFont="1">
      <alignment/>
      <protection/>
    </xf>
    <xf numFmtId="3" fontId="46" fillId="0" borderId="0" xfId="21" applyNumberFormat="1" applyFont="1">
      <alignment/>
      <protection/>
    </xf>
    <xf numFmtId="3" fontId="45" fillId="0" borderId="1" xfId="21" applyNumberFormat="1" applyFont="1" applyFill="1" applyBorder="1" applyAlignment="1">
      <alignment horizontal="right" vertical="top"/>
      <protection/>
    </xf>
    <xf numFmtId="3" fontId="41" fillId="0" borderId="1" xfId="21" applyNumberFormat="1" applyFont="1" applyFill="1" applyBorder="1" applyAlignment="1">
      <alignment horizontal="right" vertical="top"/>
      <protection/>
    </xf>
    <xf numFmtId="3" fontId="47" fillId="0" borderId="0" xfId="20" applyNumberFormat="1" applyFont="1" applyAlignment="1">
      <alignment horizontal="centerContinuous"/>
      <protection/>
    </xf>
    <xf numFmtId="3" fontId="47" fillId="0" borderId="0" xfId="19" applyNumberFormat="1" applyFont="1" applyAlignment="1" applyProtection="1">
      <alignment horizontal="centerContinuous" vertical="center" wrapText="1"/>
      <protection hidden="1"/>
    </xf>
    <xf numFmtId="3" fontId="37" fillId="0" borderId="0" xfId="19" applyNumberFormat="1" applyFont="1" applyAlignment="1" applyProtection="1">
      <alignment horizontal="centerContinuous" vertical="center" wrapText="1"/>
      <protection hidden="1"/>
    </xf>
    <xf numFmtId="3" fontId="36" fillId="0" borderId="1" xfId="19" applyNumberFormat="1" applyFont="1" applyBorder="1" applyAlignment="1" applyProtection="1">
      <alignment horizontal="center" vertical="center" wrapText="1"/>
      <protection hidden="1"/>
    </xf>
    <xf numFmtId="3" fontId="36" fillId="0" borderId="8" xfId="20" applyNumberFormat="1" applyFont="1" applyBorder="1" applyAlignment="1" applyProtection="1">
      <alignment horizontal="right" vertical="center"/>
      <protection locked="0"/>
    </xf>
    <xf numFmtId="0" fontId="19" fillId="0" borderId="5" xfId="19" applyFont="1" applyBorder="1" applyAlignment="1">
      <alignment horizontal="centerContinuous" vertical="center" wrapText="1"/>
      <protection/>
    </xf>
    <xf numFmtId="0" fontId="19" fillId="0" borderId="11" xfId="19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2" fontId="36" fillId="0" borderId="1" xfId="0" applyNumberFormat="1" applyFont="1" applyBorder="1" applyAlignment="1">
      <alignment/>
    </xf>
    <xf numFmtId="3" fontId="6" fillId="0" borderId="0" xfId="19" applyNumberFormat="1" applyFont="1" applyFill="1" applyBorder="1" applyAlignment="1" applyProtection="1">
      <alignment horizontal="right" vertical="center"/>
      <protection hidden="1"/>
    </xf>
    <xf numFmtId="3" fontId="48" fillId="0" borderId="0" xfId="19" applyNumberFormat="1" applyFont="1" applyFill="1" applyBorder="1" applyAlignment="1" applyProtection="1">
      <alignment horizontal="right" vertical="center"/>
      <protection hidden="1"/>
    </xf>
    <xf numFmtId="3" fontId="36" fillId="0" borderId="1" xfId="0" applyNumberFormat="1" applyFont="1" applyBorder="1" applyAlignment="1" applyProtection="1">
      <alignment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19" fillId="0" borderId="12" xfId="0" applyFont="1" applyBorder="1" applyAlignment="1" applyProtection="1">
      <alignment vertical="center"/>
      <protection hidden="1"/>
    </xf>
    <xf numFmtId="0" fontId="19" fillId="0" borderId="3" xfId="0" applyFont="1" applyBorder="1" applyAlignment="1" applyProtection="1">
      <alignment vertical="center" wrapText="1"/>
      <protection hidden="1"/>
    </xf>
    <xf numFmtId="0" fontId="19" fillId="0" borderId="2" xfId="0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horizontal="left" vertical="center" wrapText="1"/>
      <protection hidden="1"/>
    </xf>
    <xf numFmtId="0" fontId="21" fillId="0" borderId="3" xfId="0" applyFont="1" applyBorder="1" applyAlignment="1" applyProtection="1">
      <alignment vertical="center" wrapText="1"/>
      <protection hidden="1"/>
    </xf>
    <xf numFmtId="3" fontId="41" fillId="0" borderId="5" xfId="0" applyNumberFormat="1" applyFont="1" applyBorder="1" applyAlignment="1">
      <alignment vertical="center"/>
    </xf>
    <xf numFmtId="3" fontId="41" fillId="0" borderId="9" xfId="0" applyNumberFormat="1" applyFont="1" applyBorder="1" applyAlignment="1">
      <alignment vertical="center"/>
    </xf>
    <xf numFmtId="182" fontId="42" fillId="0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21" fillId="0" borderId="5" xfId="0" applyFont="1" applyBorder="1" applyAlignment="1">
      <alignment wrapText="1"/>
    </xf>
    <xf numFmtId="0" fontId="19" fillId="0" borderId="5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182" fontId="7" fillId="0" borderId="1" xfId="19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>
      <alignment horizontal="left" wrapText="1"/>
    </xf>
    <xf numFmtId="182" fontId="7" fillId="0" borderId="1" xfId="0" applyNumberFormat="1" applyFont="1" applyBorder="1" applyAlignment="1">
      <alignment horizontal="right" wrapText="1"/>
    </xf>
    <xf numFmtId="3" fontId="6" fillId="0" borderId="12" xfId="19" applyNumberFormat="1" applyFont="1" applyBorder="1" applyAlignment="1" applyProtection="1">
      <alignment horizontal="right" vertical="center"/>
      <protection locked="0"/>
    </xf>
    <xf numFmtId="3" fontId="6" fillId="0" borderId="10" xfId="19" applyNumberFormat="1" applyFont="1" applyBorder="1" applyAlignment="1" applyProtection="1">
      <alignment horizontal="right" vertical="center"/>
      <protection locked="0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0" applyNumberFormat="1" applyFont="1" applyBorder="1" applyAlignment="1">
      <alignment horizontal="center" vertical="center" wrapText="1"/>
      <protection/>
    </xf>
    <xf numFmtId="0" fontId="28" fillId="0" borderId="1" xfId="0" applyFont="1" applyBorder="1" applyAlignment="1">
      <alignment horizontal="centerContinuous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Continuous"/>
    </xf>
    <xf numFmtId="3" fontId="7" fillId="0" borderId="0" xfId="19" applyNumberFormat="1" applyFont="1" applyBorder="1" applyProtection="1">
      <alignment/>
      <protection hidden="1"/>
    </xf>
    <xf numFmtId="3" fontId="15" fillId="0" borderId="0" xfId="19" applyNumberFormat="1" applyFont="1" applyBorder="1" applyAlignment="1" applyProtection="1">
      <alignment/>
      <protection hidden="1"/>
    </xf>
    <xf numFmtId="3" fontId="44" fillId="0" borderId="0" xfId="20" applyNumberFormat="1" applyFont="1" applyBorder="1" applyAlignment="1" applyProtection="1">
      <alignment horizontal="right" vertical="center"/>
      <protection locked="0"/>
    </xf>
    <xf numFmtId="0" fontId="28" fillId="0" borderId="4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Continuous" vertical="center"/>
    </xf>
    <xf numFmtId="0" fontId="39" fillId="0" borderId="0" xfId="0" applyFont="1" applyBorder="1" applyAlignment="1">
      <alignment/>
    </xf>
    <xf numFmtId="0" fontId="31" fillId="0" borderId="0" xfId="0" applyFont="1" applyBorder="1" applyAlignment="1">
      <alignment/>
    </xf>
    <xf numFmtId="173" fontId="19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3" fontId="6" fillId="0" borderId="1" xfId="0" applyNumberFormat="1" applyFont="1" applyFill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" fontId="6" fillId="0" borderId="5" xfId="0" applyNumberFormat="1" applyFont="1" applyBorder="1" applyAlignment="1">
      <alignment/>
    </xf>
    <xf numFmtId="3" fontId="6" fillId="0" borderId="9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3" fontId="6" fillId="0" borderId="9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6" fillId="0" borderId="9" xfId="0" applyFont="1" applyBorder="1" applyAlignment="1" quotePrefix="1">
      <alignment vertical="center" wrapText="1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 quotePrefix="1">
      <alignment wrapText="1"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9" xfId="19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5" xfId="19" applyFont="1" applyBorder="1" applyAlignment="1" applyProtection="1" quotePrefix="1">
      <alignment vertical="center"/>
      <protection hidden="1"/>
    </xf>
    <xf numFmtId="0" fontId="6" fillId="0" borderId="5" xfId="19" applyFont="1" applyBorder="1" applyAlignment="1" applyProtection="1">
      <alignment vertical="center"/>
      <protection hidden="1"/>
    </xf>
    <xf numFmtId="0" fontId="6" fillId="0" borderId="9" xfId="19" applyFont="1" applyBorder="1" applyAlignment="1" applyProtection="1">
      <alignment vertical="center" wrapText="1"/>
      <protection hidden="1"/>
    </xf>
    <xf numFmtId="0" fontId="6" fillId="0" borderId="5" xfId="19" applyFont="1" applyBorder="1" applyAlignment="1" applyProtection="1">
      <alignment vertical="center" wrapText="1"/>
      <protection hidden="1"/>
    </xf>
    <xf numFmtId="0" fontId="6" fillId="0" borderId="13" xfId="19" applyFont="1" applyBorder="1" applyAlignment="1" applyProtection="1">
      <alignment horizontal="right" vertical="center"/>
      <protection hidden="1"/>
    </xf>
    <xf numFmtId="0" fontId="6" fillId="0" borderId="13" xfId="19" applyFont="1" applyBorder="1" applyAlignment="1" applyProtection="1">
      <alignment vertical="center" wrapText="1"/>
      <protection hidden="1"/>
    </xf>
    <xf numFmtId="3" fontId="6" fillId="0" borderId="13" xfId="19" applyNumberFormat="1" applyFont="1" applyBorder="1" applyAlignment="1" applyProtection="1">
      <alignment horizontal="right" vertical="center"/>
      <protection hidden="1"/>
    </xf>
    <xf numFmtId="0" fontId="7" fillId="0" borderId="5" xfId="19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 wrapText="1"/>
    </xf>
    <xf numFmtId="3" fontId="7" fillId="0" borderId="5" xfId="19" applyNumberFormat="1" applyFont="1" applyBorder="1" applyAlignment="1" applyProtection="1">
      <alignment horizontal="right" vertical="center"/>
      <protection locked="0"/>
    </xf>
    <xf numFmtId="3" fontId="37" fillId="0" borderId="5" xfId="2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wrapText="1"/>
    </xf>
    <xf numFmtId="3" fontId="36" fillId="0" borderId="13" xfId="20" applyNumberFormat="1" applyFont="1" applyBorder="1" applyAlignment="1" applyProtection="1">
      <alignment horizontal="right" vertical="center"/>
      <protection locked="0"/>
    </xf>
    <xf numFmtId="0" fontId="6" fillId="0" borderId="9" xfId="19" applyFont="1" applyBorder="1" applyAlignment="1" applyProtection="1">
      <alignment vertical="center" wrapText="1"/>
      <protection hidden="1"/>
    </xf>
    <xf numFmtId="3" fontId="6" fillId="0" borderId="13" xfId="19" applyNumberFormat="1" applyFont="1" applyBorder="1" applyAlignment="1" applyProtection="1">
      <alignment horizontal="right" vertical="center"/>
      <protection locked="0"/>
    </xf>
    <xf numFmtId="3" fontId="6" fillId="0" borderId="13" xfId="19" applyNumberFormat="1" applyFont="1" applyBorder="1" applyAlignment="1" applyProtection="1">
      <alignment horizontal="right" vertical="center"/>
      <protection locked="0"/>
    </xf>
    <xf numFmtId="0" fontId="6" fillId="0" borderId="12" xfId="19" applyFont="1" applyBorder="1" applyAlignment="1" applyProtection="1">
      <alignment vertical="center" wrapText="1"/>
      <protection hidden="1"/>
    </xf>
    <xf numFmtId="0" fontId="6" fillId="0" borderId="10" xfId="19" applyFont="1" applyBorder="1" applyAlignment="1" applyProtection="1">
      <alignment vertical="center" wrapText="1"/>
      <protection hidden="1"/>
    </xf>
    <xf numFmtId="0" fontId="21" fillId="0" borderId="5" xfId="0" applyFont="1" applyBorder="1" applyAlignment="1">
      <alignment horizontal="right"/>
    </xf>
    <xf numFmtId="3" fontId="21" fillId="0" borderId="5" xfId="0" applyNumberFormat="1" applyFont="1" applyFill="1" applyBorder="1" applyAlignment="1">
      <alignment/>
    </xf>
    <xf numFmtId="0" fontId="21" fillId="0" borderId="9" xfId="0" applyFont="1" applyBorder="1" applyAlignment="1">
      <alignment horizontal="right"/>
    </xf>
    <xf numFmtId="0" fontId="21" fillId="0" borderId="9" xfId="0" applyFont="1" applyBorder="1" applyAlignment="1">
      <alignment wrapText="1"/>
    </xf>
    <xf numFmtId="3" fontId="21" fillId="0" borderId="9" xfId="0" applyNumberFormat="1" applyFont="1" applyFill="1" applyBorder="1" applyAlignment="1">
      <alignment/>
    </xf>
    <xf numFmtId="0" fontId="19" fillId="0" borderId="5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3" fontId="19" fillId="0" borderId="5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/>
    </xf>
    <xf numFmtId="0" fontId="21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vertical="center" wrapText="1"/>
    </xf>
    <xf numFmtId="3" fontId="21" fillId="0" borderId="5" xfId="0" applyNumberFormat="1" applyFont="1" applyFill="1" applyBorder="1" applyAlignment="1">
      <alignment vertical="center"/>
    </xf>
    <xf numFmtId="0" fontId="19" fillId="0" borderId="7" xfId="21" applyFont="1" applyBorder="1" applyAlignment="1" quotePrefix="1">
      <alignment/>
      <protection/>
    </xf>
    <xf numFmtId="0" fontId="19" fillId="0" borderId="5" xfId="0" applyFont="1" applyBorder="1" applyAlignment="1">
      <alignment horizontal="right" vertical="center"/>
    </xf>
    <xf numFmtId="0" fontId="19" fillId="0" borderId="5" xfId="19" applyFont="1" applyBorder="1" applyAlignment="1" applyProtection="1">
      <alignment vertical="center"/>
      <protection hidden="1"/>
    </xf>
    <xf numFmtId="3" fontId="19" fillId="0" borderId="5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0" fontId="23" fillId="0" borderId="5" xfId="0" applyFont="1" applyBorder="1" applyAlignment="1">
      <alignment horizontal="right"/>
    </xf>
    <xf numFmtId="0" fontId="17" fillId="0" borderId="5" xfId="19" applyFont="1" applyBorder="1" applyAlignment="1" applyProtection="1">
      <alignment vertical="center"/>
      <protection hidden="1"/>
    </xf>
    <xf numFmtId="3" fontId="17" fillId="0" borderId="5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/>
    </xf>
    <xf numFmtId="0" fontId="20" fillId="0" borderId="12" xfId="21" applyFont="1" applyBorder="1" applyAlignment="1">
      <alignment horizontal="right"/>
      <protection/>
    </xf>
    <xf numFmtId="3" fontId="20" fillId="0" borderId="8" xfId="21" applyNumberFormat="1" applyFont="1" applyBorder="1" applyAlignment="1">
      <alignment horizontal="right" vertical="top"/>
      <protection/>
    </xf>
    <xf numFmtId="3" fontId="20" fillId="0" borderId="8" xfId="21" applyNumberFormat="1" applyFont="1" applyBorder="1" applyAlignment="1" applyProtection="1">
      <alignment horizontal="right" vertical="top"/>
      <protection locked="0"/>
    </xf>
    <xf numFmtId="3" fontId="19" fillId="0" borderId="12" xfId="21" applyNumberFormat="1" applyFont="1" applyBorder="1" applyAlignment="1" applyProtection="1">
      <alignment horizontal="right" vertical="top"/>
      <protection locked="0"/>
    </xf>
    <xf numFmtId="3" fontId="41" fillId="0" borderId="5" xfId="21" applyNumberFormat="1" applyFont="1" applyFill="1" applyBorder="1" applyAlignment="1">
      <alignment horizontal="right" vertical="top"/>
      <protection/>
    </xf>
    <xf numFmtId="0" fontId="20" fillId="0" borderId="10" xfId="21" applyFont="1" applyBorder="1" applyAlignment="1">
      <alignment horizontal="right"/>
      <protection/>
    </xf>
    <xf numFmtId="0" fontId="6" fillId="0" borderId="10" xfId="21" applyFont="1" applyBorder="1" applyAlignment="1">
      <alignment/>
      <protection/>
    </xf>
    <xf numFmtId="0" fontId="20" fillId="0" borderId="6" xfId="21" applyFont="1" applyBorder="1">
      <alignment/>
      <protection/>
    </xf>
    <xf numFmtId="3" fontId="20" fillId="0" borderId="6" xfId="21" applyNumberFormat="1" applyFont="1" applyBorder="1" applyAlignment="1">
      <alignment horizontal="right" vertical="top"/>
      <protection/>
    </xf>
    <xf numFmtId="3" fontId="20" fillId="0" borderId="6" xfId="21" applyNumberFormat="1" applyFont="1" applyBorder="1" applyAlignment="1" applyProtection="1">
      <alignment horizontal="right" vertical="top"/>
      <protection locked="0"/>
    </xf>
    <xf numFmtId="3" fontId="19" fillId="0" borderId="10" xfId="21" applyNumberFormat="1" applyFont="1" applyBorder="1" applyAlignment="1" applyProtection="1">
      <alignment horizontal="right" vertical="top"/>
      <protection locked="0"/>
    </xf>
    <xf numFmtId="3" fontId="41" fillId="0" borderId="9" xfId="21" applyNumberFormat="1" applyFont="1" applyFill="1" applyBorder="1" applyAlignment="1">
      <alignment horizontal="right" vertical="top"/>
      <protection/>
    </xf>
    <xf numFmtId="0" fontId="20" fillId="0" borderId="5" xfId="21" applyFont="1" applyBorder="1" applyAlignment="1">
      <alignment horizontal="right"/>
      <protection/>
    </xf>
    <xf numFmtId="0" fontId="20" fillId="0" borderId="9" xfId="21" applyFont="1" applyBorder="1" applyAlignment="1">
      <alignment horizontal="right"/>
      <protection/>
    </xf>
    <xf numFmtId="0" fontId="23" fillId="0" borderId="12" xfId="21" applyFont="1" applyBorder="1">
      <alignment/>
      <protection/>
    </xf>
    <xf numFmtId="0" fontId="19" fillId="0" borderId="11" xfId="21" applyFont="1" applyBorder="1" applyAlignment="1" quotePrefix="1">
      <alignment/>
      <protection/>
    </xf>
    <xf numFmtId="0" fontId="23" fillId="0" borderId="10" xfId="21" applyFont="1" applyBorder="1">
      <alignment/>
      <protection/>
    </xf>
    <xf numFmtId="0" fontId="11" fillId="0" borderId="6" xfId="21" applyFont="1" applyBorder="1">
      <alignment/>
      <protection/>
    </xf>
    <xf numFmtId="0" fontId="19" fillId="0" borderId="7" xfId="21" applyFont="1" applyBorder="1" applyAlignment="1">
      <alignment/>
      <protection/>
    </xf>
    <xf numFmtId="3" fontId="19" fillId="0" borderId="9" xfId="21" applyNumberFormat="1" applyFont="1" applyFill="1" applyBorder="1" applyAlignment="1">
      <alignment horizontal="right" vertical="top"/>
      <protection/>
    </xf>
    <xf numFmtId="0" fontId="7" fillId="0" borderId="12" xfId="21" applyFont="1" applyBorder="1">
      <alignment/>
      <protection/>
    </xf>
    <xf numFmtId="0" fontId="20" fillId="0" borderId="8" xfId="21" applyFont="1" applyBorder="1" quotePrefix="1">
      <alignment/>
      <protection/>
    </xf>
    <xf numFmtId="3" fontId="19" fillId="0" borderId="5" xfId="21" applyNumberFormat="1" applyFont="1" applyBorder="1" applyAlignment="1" applyProtection="1">
      <alignment horizontal="right" vertical="top"/>
      <protection locked="0"/>
    </xf>
    <xf numFmtId="0" fontId="7" fillId="0" borderId="10" xfId="21" applyFont="1" applyBorder="1">
      <alignment/>
      <protection/>
    </xf>
    <xf numFmtId="0" fontId="20" fillId="0" borderId="6" xfId="21" applyFont="1" applyBorder="1" quotePrefix="1">
      <alignment/>
      <protection/>
    </xf>
    <xf numFmtId="3" fontId="19" fillId="0" borderId="9" xfId="21" applyNumberFormat="1" applyFont="1" applyBorder="1" applyAlignment="1" applyProtection="1">
      <alignment horizontal="right" vertical="top"/>
      <protection locked="0"/>
    </xf>
    <xf numFmtId="0" fontId="20" fillId="0" borderId="12" xfId="21" applyFont="1" applyBorder="1" quotePrefix="1">
      <alignment/>
      <protection/>
    </xf>
    <xf numFmtId="0" fontId="7" fillId="0" borderId="8" xfId="21" applyFont="1" applyBorder="1">
      <alignment/>
      <protection/>
    </xf>
    <xf numFmtId="0" fontId="20" fillId="0" borderId="10" xfId="21" applyFont="1" applyBorder="1" quotePrefix="1">
      <alignment/>
      <protection/>
    </xf>
    <xf numFmtId="0" fontId="7" fillId="0" borderId="6" xfId="21" applyFont="1" applyBorder="1">
      <alignment/>
      <protection/>
    </xf>
    <xf numFmtId="3" fontId="20" fillId="0" borderId="8" xfId="21" applyNumberFormat="1" applyFont="1" applyBorder="1">
      <alignment/>
      <protection/>
    </xf>
    <xf numFmtId="3" fontId="20" fillId="0" borderId="11" xfId="21" applyNumberFormat="1" applyFont="1" applyBorder="1">
      <alignment/>
      <protection/>
    </xf>
    <xf numFmtId="3" fontId="20" fillId="0" borderId="6" xfId="21" applyNumberFormat="1" applyFont="1" applyBorder="1">
      <alignment/>
      <protection/>
    </xf>
    <xf numFmtId="3" fontId="20" fillId="0" borderId="7" xfId="21" applyNumberFormat="1" applyFont="1" applyBorder="1">
      <alignment/>
      <protection/>
    </xf>
    <xf numFmtId="3" fontId="20" fillId="0" borderId="9" xfId="21" applyNumberFormat="1" applyFont="1" applyBorder="1">
      <alignment/>
      <protection/>
    </xf>
    <xf numFmtId="0" fontId="6" fillId="0" borderId="8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22" fillId="0" borderId="12" xfId="21" applyFont="1" applyBorder="1" applyAlignment="1">
      <alignment horizontal="right"/>
      <protection/>
    </xf>
    <xf numFmtId="3" fontId="19" fillId="0" borderId="8" xfId="21" applyNumberFormat="1" applyFont="1" applyBorder="1">
      <alignment/>
      <protection/>
    </xf>
    <xf numFmtId="0" fontId="19" fillId="0" borderId="8" xfId="21" applyFont="1" applyBorder="1">
      <alignment/>
      <protection/>
    </xf>
    <xf numFmtId="0" fontId="19" fillId="0" borderId="11" xfId="21" applyFont="1" applyBorder="1">
      <alignment/>
      <protection/>
    </xf>
    <xf numFmtId="3" fontId="20" fillId="0" borderId="11" xfId="21" applyNumberFormat="1" applyFont="1" applyBorder="1">
      <alignment/>
      <protection/>
    </xf>
    <xf numFmtId="0" fontId="22" fillId="0" borderId="9" xfId="21" applyFont="1" applyBorder="1" applyAlignment="1">
      <alignment horizontal="right"/>
      <protection/>
    </xf>
    <xf numFmtId="3" fontId="19" fillId="0" borderId="6" xfId="21" applyNumberFormat="1" applyFont="1" applyBorder="1">
      <alignment/>
      <protection/>
    </xf>
    <xf numFmtId="0" fontId="19" fillId="0" borderId="6" xfId="21" applyFont="1" applyBorder="1">
      <alignment/>
      <protection/>
    </xf>
    <xf numFmtId="0" fontId="19" fillId="0" borderId="7" xfId="21" applyFont="1" applyBorder="1" applyAlignment="1" quotePrefix="1">
      <alignment/>
      <protection/>
    </xf>
    <xf numFmtId="3" fontId="19" fillId="0" borderId="9" xfId="21" applyNumberFormat="1" applyFont="1" applyBorder="1">
      <alignment/>
      <protection/>
    </xf>
    <xf numFmtId="0" fontId="22" fillId="0" borderId="5" xfId="21" applyFont="1" applyBorder="1" applyAlignment="1">
      <alignment horizontal="right"/>
      <protection/>
    </xf>
    <xf numFmtId="3" fontId="20" fillId="0" borderId="5" xfId="21" applyNumberFormat="1" applyFont="1" applyBorder="1">
      <alignment/>
      <protection/>
    </xf>
    <xf numFmtId="3" fontId="20" fillId="0" borderId="9" xfId="21" applyNumberFormat="1" applyFont="1" applyBorder="1">
      <alignment/>
      <protection/>
    </xf>
    <xf numFmtId="0" fontId="19" fillId="0" borderId="6" xfId="21" applyFont="1" applyBorder="1" applyAlignment="1">
      <alignment/>
      <protection/>
    </xf>
    <xf numFmtId="0" fontId="19" fillId="0" borderId="4" xfId="0" applyFont="1" applyBorder="1" applyAlignment="1" applyProtection="1">
      <alignment vertical="center" wrapText="1"/>
      <protection hidden="1"/>
    </xf>
    <xf numFmtId="0" fontId="19" fillId="0" borderId="1" xfId="0" applyFont="1" applyBorder="1" applyAlignment="1" applyProtection="1">
      <alignment vertical="center" wrapText="1"/>
      <protection hidden="1"/>
    </xf>
    <xf numFmtId="0" fontId="21" fillId="0" borderId="4" xfId="0" applyFont="1" applyBorder="1" applyAlignment="1" applyProtection="1">
      <alignment vertical="center" wrapText="1"/>
      <protection hidden="1"/>
    </xf>
    <xf numFmtId="0" fontId="21" fillId="0" borderId="1" xfId="0" applyFont="1" applyBorder="1" applyAlignment="1" applyProtection="1">
      <alignment vertical="center" wrapText="1"/>
      <protection hidden="1"/>
    </xf>
    <xf numFmtId="0" fontId="19" fillId="0" borderId="4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3" fontId="19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19" fillId="0" borderId="3" xfId="0" applyFont="1" applyBorder="1" applyAlignment="1" applyProtection="1">
      <alignment vertical="center"/>
      <protection hidden="1"/>
    </xf>
    <xf numFmtId="16" fontId="21" fillId="0" borderId="1" xfId="0" applyNumberFormat="1" applyFont="1" applyBorder="1" applyAlignment="1">
      <alignment horizontal="right" vertical="center"/>
    </xf>
    <xf numFmtId="0" fontId="19" fillId="0" borderId="12" xfId="21" applyFont="1" applyBorder="1" applyAlignment="1" quotePrefix="1">
      <alignment/>
      <protection/>
    </xf>
    <xf numFmtId="0" fontId="19" fillId="0" borderId="10" xfId="21" applyFont="1" applyBorder="1" applyAlignment="1">
      <alignment/>
      <protection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 quotePrefix="1">
      <alignment wrapText="1"/>
    </xf>
    <xf numFmtId="0" fontId="19" fillId="0" borderId="0" xfId="21" applyFont="1" applyBorder="1" applyAlignment="1">
      <alignment horizontal="right"/>
      <protection/>
    </xf>
    <xf numFmtId="0" fontId="19" fillId="0" borderId="0" xfId="21" applyFont="1" applyBorder="1" applyAlignment="1" quotePrefix="1">
      <alignment/>
      <protection/>
    </xf>
    <xf numFmtId="0" fontId="19" fillId="0" borderId="0" xfId="21" applyFont="1" applyBorder="1" quotePrefix="1">
      <alignment/>
      <protection/>
    </xf>
    <xf numFmtId="3" fontId="20" fillId="0" borderId="0" xfId="21" applyNumberFormat="1" applyFont="1" applyFill="1" applyBorder="1">
      <alignment/>
      <protection/>
    </xf>
    <xf numFmtId="3" fontId="20" fillId="0" borderId="0" xfId="21" applyNumberFormat="1" applyFont="1" applyFill="1" applyBorder="1" applyProtection="1">
      <alignment/>
      <protection locked="0"/>
    </xf>
    <xf numFmtId="3" fontId="19" fillId="0" borderId="0" xfId="21" applyNumberFormat="1" applyFont="1" applyFill="1" applyBorder="1" applyAlignment="1">
      <alignment horizontal="right" vertical="top"/>
      <protection/>
    </xf>
    <xf numFmtId="3" fontId="41" fillId="0" borderId="0" xfId="21" applyNumberFormat="1" applyFont="1" applyFill="1" applyBorder="1" applyAlignment="1">
      <alignment horizontal="right" vertical="top"/>
      <protection/>
    </xf>
    <xf numFmtId="3" fontId="17" fillId="0" borderId="1" xfId="21" applyNumberFormat="1" applyFont="1" applyFill="1" applyBorder="1" applyProtection="1">
      <alignment/>
      <protection locked="0"/>
    </xf>
    <xf numFmtId="0" fontId="20" fillId="0" borderId="0" xfId="21" applyFont="1" applyBorder="1" applyAlignment="1">
      <alignment horizontal="right"/>
      <protection/>
    </xf>
    <xf numFmtId="0" fontId="20" fillId="0" borderId="0" xfId="21" applyFont="1" applyBorder="1" quotePrefix="1">
      <alignment/>
      <protection/>
    </xf>
    <xf numFmtId="0" fontId="7" fillId="0" borderId="0" xfId="21" applyFont="1" applyBorder="1">
      <alignment/>
      <protection/>
    </xf>
    <xf numFmtId="3" fontId="20" fillId="0" borderId="0" xfId="21" applyNumberFormat="1" applyFont="1" applyBorder="1" applyAlignment="1">
      <alignment horizontal="right" vertical="top"/>
      <protection/>
    </xf>
    <xf numFmtId="3" fontId="20" fillId="0" borderId="0" xfId="21" applyNumberFormat="1" applyFont="1" applyBorder="1" applyAlignment="1" applyProtection="1">
      <alignment horizontal="right" vertical="top"/>
      <protection locked="0"/>
    </xf>
    <xf numFmtId="0" fontId="19" fillId="0" borderId="0" xfId="0" applyFont="1" applyBorder="1" applyAlignment="1" quotePrefix="1">
      <alignment wrapText="1"/>
    </xf>
    <xf numFmtId="3" fontId="6" fillId="0" borderId="3" xfId="0" applyNumberFormat="1" applyFont="1" applyBorder="1" applyAlignment="1">
      <alignment/>
    </xf>
    <xf numFmtId="0" fontId="19" fillId="0" borderId="1" xfId="0" applyFont="1" applyBorder="1" applyAlignment="1">
      <alignment horizontal="left" indent="6"/>
    </xf>
    <xf numFmtId="3" fontId="7" fillId="0" borderId="5" xfId="19" applyNumberFormat="1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vertical="center"/>
    </xf>
    <xf numFmtId="3" fontId="19" fillId="0" borderId="12" xfId="21" applyNumberFormat="1" applyFont="1" applyFill="1" applyBorder="1" applyAlignment="1">
      <alignment horizontal="right" vertical="top"/>
      <protection/>
    </xf>
    <xf numFmtId="3" fontId="19" fillId="0" borderId="10" xfId="21" applyNumberFormat="1" applyFont="1" applyFill="1" applyBorder="1" applyAlignment="1">
      <alignment horizontal="right" vertical="top"/>
      <protection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28" fillId="0" borderId="4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49" fontId="28" fillId="0" borderId="1" xfId="0" applyNumberFormat="1" applyFont="1" applyBorder="1" applyAlignment="1">
      <alignment horizontal="left" vertical="center"/>
    </xf>
    <xf numFmtId="1" fontId="28" fillId="0" borderId="1" xfId="19" applyNumberFormat="1" applyFont="1" applyBorder="1" applyAlignment="1" applyProtection="1">
      <alignment horizontal="right" vertical="center" wrapText="1"/>
      <protection hidden="1"/>
    </xf>
    <xf numFmtId="0" fontId="17" fillId="0" borderId="1" xfId="0" applyFont="1" applyBorder="1" applyAlignment="1">
      <alignment/>
    </xf>
    <xf numFmtId="0" fontId="28" fillId="0" borderId="1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49" fontId="28" fillId="0" borderId="1" xfId="0" applyNumberFormat="1" applyFont="1" applyBorder="1" applyAlignment="1">
      <alignment horizontal="left" indent="3"/>
    </xf>
    <xf numFmtId="3" fontId="6" fillId="0" borderId="4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3" fontId="6" fillId="0" borderId="3" xfId="0" applyNumberFormat="1" applyFont="1" applyBorder="1" applyAlignment="1">
      <alignment horizontal="centerContinuous"/>
    </xf>
    <xf numFmtId="182" fontId="6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9" xfId="19" applyFont="1" applyBorder="1" applyAlignment="1" applyProtection="1">
      <alignment horizontal="right" vertical="center"/>
      <protection hidden="1"/>
    </xf>
    <xf numFmtId="0" fontId="13" fillId="0" borderId="0" xfId="19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3" fillId="0" borderId="0" xfId="19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14" fillId="0" borderId="0" xfId="19" applyFont="1" applyBorder="1" applyAlignment="1" applyProtection="1">
      <alignment horizontal="center" vertical="center" wrapText="1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14" fillId="0" borderId="0" xfId="19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quotePrefix="1">
      <alignment horizontal="left" wrapText="1"/>
    </xf>
    <xf numFmtId="0" fontId="19" fillId="0" borderId="3" xfId="0" applyFont="1" applyBorder="1" applyAlignment="1" quotePrefix="1">
      <alignment horizontal="left" wrapText="1"/>
    </xf>
    <xf numFmtId="0" fontId="6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KIAD_1.XLS" xfId="19"/>
    <cellStyle name="Normál_KIAD_1.XLS_1" xfId="20"/>
    <cellStyle name="Normál_KIAD_4F.XLS" xfId="21"/>
    <cellStyle name="Normál_KIAD_4F1" xfId="22"/>
    <cellStyle name="Normal_tanusitv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m&#243;d2006\Oszi6a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v"/>
      <sheetName val="Terv (2)"/>
      <sheetName val="Terv (3)"/>
      <sheetName val="Terv (4)"/>
      <sheetName val="Terv (5)"/>
      <sheetName val="Terv (6)"/>
      <sheetName val="Terv (7)"/>
      <sheetName val="Terv (8)"/>
      <sheetName val="Terv (9)"/>
      <sheetName val="Terv (10)"/>
    </sheetNames>
    <sheetDataSet>
      <sheetData sheetId="0">
        <row r="11">
          <cell r="B11">
            <v>44</v>
          </cell>
          <cell r="D11">
            <v>44</v>
          </cell>
          <cell r="E11">
            <v>8</v>
          </cell>
          <cell r="G11">
            <v>8</v>
          </cell>
          <cell r="H11">
            <v>49.5</v>
          </cell>
          <cell r="J11">
            <v>49.5</v>
          </cell>
          <cell r="K11">
            <v>15.5</v>
          </cell>
          <cell r="M11">
            <v>15.5</v>
          </cell>
        </row>
        <row r="13">
          <cell r="B13">
            <v>118328</v>
          </cell>
          <cell r="C13">
            <v>-600</v>
          </cell>
          <cell r="D13">
            <v>117728</v>
          </cell>
          <cell r="E13">
            <v>22148</v>
          </cell>
          <cell r="F13">
            <v>0</v>
          </cell>
          <cell r="G13">
            <v>22148</v>
          </cell>
          <cell r="H13">
            <v>125519</v>
          </cell>
          <cell r="I13">
            <v>0</v>
          </cell>
          <cell r="J13">
            <v>125519</v>
          </cell>
          <cell r="K13">
            <v>72196</v>
          </cell>
          <cell r="L13">
            <v>-800</v>
          </cell>
          <cell r="M13">
            <v>71396</v>
          </cell>
        </row>
        <row r="14">
          <cell r="B14">
            <v>37357</v>
          </cell>
          <cell r="D14">
            <v>37357</v>
          </cell>
          <cell r="E14">
            <v>6814</v>
          </cell>
          <cell r="F14">
            <v>0</v>
          </cell>
          <cell r="G14">
            <v>6814</v>
          </cell>
          <cell r="H14">
            <v>39972</v>
          </cell>
          <cell r="I14">
            <v>0</v>
          </cell>
          <cell r="J14">
            <v>39972</v>
          </cell>
          <cell r="K14">
            <v>20830</v>
          </cell>
          <cell r="L14">
            <v>-256</v>
          </cell>
          <cell r="M14">
            <v>20574</v>
          </cell>
        </row>
        <row r="15">
          <cell r="B15">
            <v>5725</v>
          </cell>
          <cell r="C15">
            <v>1281</v>
          </cell>
          <cell r="D15">
            <v>7006</v>
          </cell>
          <cell r="E15">
            <v>17166</v>
          </cell>
          <cell r="F15">
            <v>510</v>
          </cell>
          <cell r="G15">
            <v>17676</v>
          </cell>
          <cell r="H15">
            <v>11124</v>
          </cell>
          <cell r="I15">
            <v>100</v>
          </cell>
          <cell r="J15">
            <v>11224</v>
          </cell>
          <cell r="K15">
            <v>56335</v>
          </cell>
          <cell r="L15">
            <v>-2982</v>
          </cell>
          <cell r="M15">
            <v>53353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</row>
        <row r="19">
          <cell r="B19">
            <v>6000</v>
          </cell>
          <cell r="C19">
            <v>-2600</v>
          </cell>
          <cell r="D19">
            <v>3400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900</v>
          </cell>
          <cell r="C20">
            <v>-681</v>
          </cell>
          <cell r="D20">
            <v>219</v>
          </cell>
          <cell r="E20">
            <v>0</v>
          </cell>
          <cell r="F20">
            <v>0</v>
          </cell>
          <cell r="G20">
            <v>0</v>
          </cell>
          <cell r="H20">
            <v>1366</v>
          </cell>
          <cell r="I20">
            <v>0</v>
          </cell>
          <cell r="J20">
            <v>1366</v>
          </cell>
          <cell r="K20">
            <v>14</v>
          </cell>
          <cell r="L20">
            <v>0</v>
          </cell>
          <cell r="M20">
            <v>14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1772</v>
          </cell>
          <cell r="F26">
            <v>0</v>
          </cell>
          <cell r="G26">
            <v>1772</v>
          </cell>
          <cell r="H26">
            <v>0</v>
          </cell>
          <cell r="I26">
            <v>0</v>
          </cell>
          <cell r="J26">
            <v>0</v>
          </cell>
          <cell r="K26">
            <v>19117</v>
          </cell>
          <cell r="L26">
            <v>0</v>
          </cell>
          <cell r="M26">
            <v>19117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681</v>
          </cell>
          <cell r="D30">
            <v>681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166</v>
          </cell>
          <cell r="L30">
            <v>0</v>
          </cell>
          <cell r="M30">
            <v>166</v>
          </cell>
        </row>
        <row r="31">
          <cell r="B31">
            <v>900</v>
          </cell>
          <cell r="C31">
            <v>-681</v>
          </cell>
          <cell r="D31">
            <v>219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11280</v>
          </cell>
          <cell r="C33">
            <v>0</v>
          </cell>
          <cell r="D33">
            <v>11280</v>
          </cell>
          <cell r="E33">
            <v>3302</v>
          </cell>
          <cell r="F33">
            <v>0</v>
          </cell>
          <cell r="G33">
            <v>3302</v>
          </cell>
          <cell r="H33">
            <v>11803</v>
          </cell>
          <cell r="I33">
            <v>0</v>
          </cell>
          <cell r="J33">
            <v>11803</v>
          </cell>
          <cell r="K33">
            <v>5812</v>
          </cell>
          <cell r="L33">
            <v>0</v>
          </cell>
          <cell r="M33">
            <v>5812</v>
          </cell>
        </row>
        <row r="35">
          <cell r="B35">
            <v>0</v>
          </cell>
          <cell r="C35">
            <v>433</v>
          </cell>
          <cell r="D35">
            <v>433</v>
          </cell>
          <cell r="E35">
            <v>0</v>
          </cell>
          <cell r="F35">
            <v>0</v>
          </cell>
          <cell r="G35">
            <v>0</v>
          </cell>
          <cell r="H35">
            <v>53651</v>
          </cell>
          <cell r="I35">
            <v>-1276</v>
          </cell>
          <cell r="J35">
            <v>52375</v>
          </cell>
          <cell r="K35">
            <v>0</v>
          </cell>
          <cell r="L35">
            <v>663</v>
          </cell>
          <cell r="M35">
            <v>663</v>
          </cell>
        </row>
        <row r="36">
          <cell r="B36">
            <v>38760</v>
          </cell>
          <cell r="C36">
            <v>433</v>
          </cell>
          <cell r="D36">
            <v>39193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421</v>
          </cell>
          <cell r="J36">
            <v>421</v>
          </cell>
          <cell r="K36">
            <v>2040</v>
          </cell>
          <cell r="L36">
            <v>492</v>
          </cell>
          <cell r="M36">
            <v>2532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3"/>
  <sheetViews>
    <sheetView tabSelected="1" workbookViewId="0" topLeftCell="A28">
      <selection activeCell="B20" sqref="B20"/>
    </sheetView>
  </sheetViews>
  <sheetFormatPr defaultColWidth="9.140625" defaultRowHeight="12.75"/>
  <cols>
    <col min="1" max="1" width="4.7109375" style="40" customWidth="1"/>
    <col min="2" max="2" width="37.421875" style="39" customWidth="1"/>
    <col min="3" max="3" width="10.7109375" style="26" customWidth="1"/>
    <col min="4" max="4" width="11.57421875" style="26" customWidth="1"/>
    <col min="5" max="5" width="10.7109375" style="512" customWidth="1"/>
    <col min="6" max="6" width="13.00390625" style="125" customWidth="1"/>
  </cols>
  <sheetData>
    <row r="3" spans="1:6" ht="18.75">
      <c r="A3" s="920" t="s">
        <v>273</v>
      </c>
      <c r="B3" s="920"/>
      <c r="C3" s="920"/>
      <c r="D3" s="920"/>
      <c r="E3" s="920"/>
      <c r="F3" s="920"/>
    </row>
    <row r="4" spans="1:6" ht="18.75">
      <c r="A4" s="920" t="s">
        <v>598</v>
      </c>
      <c r="B4" s="920"/>
      <c r="C4" s="920"/>
      <c r="D4" s="920"/>
      <c r="E4" s="920"/>
      <c r="F4" s="920"/>
    </row>
    <row r="5" ht="12.75">
      <c r="A5" s="42"/>
    </row>
    <row r="6" ht="12.75">
      <c r="A6" s="42"/>
    </row>
    <row r="7" ht="12.75">
      <c r="A7" s="42"/>
    </row>
    <row r="8" ht="12" customHeight="1">
      <c r="F8" s="621" t="s">
        <v>524</v>
      </c>
    </row>
    <row r="9" spans="1:6" s="401" customFormat="1" ht="36.75" customHeight="1">
      <c r="A9" s="440" t="s">
        <v>174</v>
      </c>
      <c r="B9" s="440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.75" customHeight="1">
      <c r="A10" s="30" t="s">
        <v>247</v>
      </c>
      <c r="B10" s="31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41" t="s">
        <v>247</v>
      </c>
      <c r="B11" s="37" t="s">
        <v>464</v>
      </c>
      <c r="C11" s="66">
        <f>SUM('3.számú melléklet'!C33+'4.számú melléklet'!C55)</f>
        <v>22000</v>
      </c>
      <c r="D11" s="66">
        <f>SUM('3.számú melléklet'!D33+'4.számú melléklet'!D55)</f>
        <v>22000</v>
      </c>
      <c r="E11" s="66">
        <f>SUM('3.számú melléklet'!E33+'4.számú melléklet'!E55)</f>
        <v>0</v>
      </c>
      <c r="F11" s="66">
        <f>SUM('3.számú melléklet'!F33+'4.számú melléklet'!F55)</f>
        <v>22000</v>
      </c>
    </row>
    <row r="12" spans="1:6" s="388" customFormat="1" ht="25.5" customHeight="1">
      <c r="A12" s="475" t="s">
        <v>248</v>
      </c>
      <c r="B12" s="476" t="s">
        <v>155</v>
      </c>
      <c r="C12" s="477">
        <f>SUM('3.számú melléklet'!C34+'4.számú melléklet'!C56)</f>
        <v>496863</v>
      </c>
      <c r="D12" s="477">
        <f>SUM('3.számú melléklet'!D34+'4.számú melléklet'!D56)</f>
        <v>499113</v>
      </c>
      <c r="E12" s="477">
        <f>SUM('3.számú melléklet'!E34+'4.számú melléklet'!E56)</f>
        <v>1500</v>
      </c>
      <c r="F12" s="477">
        <f>SUM('3.számú melléklet'!F34+'4.számú melléklet'!F56)</f>
        <v>500613</v>
      </c>
    </row>
    <row r="13" spans="1:6" s="388" customFormat="1" ht="12" customHeight="1">
      <c r="A13" s="478"/>
      <c r="B13" s="479" t="s">
        <v>458</v>
      </c>
      <c r="C13" s="433">
        <f>SUM('3.számú melléklet'!C35)</f>
        <v>3530</v>
      </c>
      <c r="D13" s="433">
        <f>SUM('3.számú melléklet'!D35)</f>
        <v>3530</v>
      </c>
      <c r="E13" s="433">
        <f>SUM('3.számú melléklet'!E35)</f>
        <v>0</v>
      </c>
      <c r="F13" s="433">
        <f>SUM('3.számú melléklet'!F35)</f>
        <v>3530</v>
      </c>
    </row>
    <row r="14" spans="1:6" ht="12.75">
      <c r="A14" s="41" t="s">
        <v>249</v>
      </c>
      <c r="B14" s="343" t="s">
        <v>94</v>
      </c>
      <c r="C14" s="66">
        <f>SUM('3.számú melléklet'!C36+'4.számú melléklet'!C57)</f>
        <v>25323</v>
      </c>
      <c r="D14" s="66">
        <f>SUM('3.számú melléklet'!D36+'4.számú melléklet'!D57)</f>
        <v>25323</v>
      </c>
      <c r="E14" s="66">
        <f>SUM('3.számú melléklet'!E36+'4.számú melléklet'!E57)</f>
        <v>0</v>
      </c>
      <c r="F14" s="66">
        <f>SUM('3.számú melléklet'!F36+'4.számú melléklet'!F57)</f>
        <v>25323</v>
      </c>
    </row>
    <row r="15" spans="1:6" ht="12.75">
      <c r="A15" s="41" t="s">
        <v>95</v>
      </c>
      <c r="B15" s="37" t="s">
        <v>275</v>
      </c>
      <c r="C15" s="66">
        <f>SUM('3.számú melléklet'!C37+'4.számú melléklet'!C58)</f>
        <v>285415</v>
      </c>
      <c r="D15" s="66">
        <f>SUM('3.számú melléklet'!D37+'4.számú melléklet'!D58)</f>
        <v>285415</v>
      </c>
      <c r="E15" s="66">
        <f>SUM('3.számú melléklet'!E37+'4.számú melléklet'!E58)</f>
        <v>300</v>
      </c>
      <c r="F15" s="66">
        <f>SUM('3.számú melléklet'!F37+'4.számú melléklet'!F58)</f>
        <v>285715</v>
      </c>
    </row>
    <row r="16" spans="1:6" ht="12.75">
      <c r="A16" s="41" t="s">
        <v>96</v>
      </c>
      <c r="B16" s="37" t="s">
        <v>276</v>
      </c>
      <c r="C16" s="66">
        <f>SUM('3.számú melléklet'!C38+'4.számú melléklet'!C59)</f>
        <v>550588</v>
      </c>
      <c r="D16" s="66">
        <f>SUM('3.számú melléklet'!D38+'4.számú melléklet'!D59)</f>
        <v>550588</v>
      </c>
      <c r="E16" s="66">
        <f>SUM('3.számú melléklet'!E38+'4.számú melléklet'!E59)</f>
        <v>0</v>
      </c>
      <c r="F16" s="66">
        <f>SUM('3.számú melléklet'!F38+'4.számú melléklet'!F59)</f>
        <v>550588</v>
      </c>
    </row>
    <row r="17" spans="1:6" s="2" customFormat="1" ht="13.5">
      <c r="A17" s="109" t="s">
        <v>277</v>
      </c>
      <c r="B17" s="110" t="s">
        <v>154</v>
      </c>
      <c r="C17" s="69">
        <f>SUM(C11:C16)-C13</f>
        <v>1380189</v>
      </c>
      <c r="D17" s="69">
        <f>SUM(D11:D16)-D13</f>
        <v>1382439</v>
      </c>
      <c r="E17" s="69">
        <f>SUM(E11:E16)-E13</f>
        <v>1800</v>
      </c>
      <c r="F17" s="69">
        <f>SUM(F11:F16)-F13</f>
        <v>1384239</v>
      </c>
    </row>
    <row r="18" spans="1:6" ht="12.75">
      <c r="A18" s="41" t="s">
        <v>97</v>
      </c>
      <c r="B18" s="37" t="s">
        <v>453</v>
      </c>
      <c r="C18" s="429">
        <v>540000</v>
      </c>
      <c r="D18" s="429">
        <v>540000</v>
      </c>
      <c r="E18" s="429">
        <v>0</v>
      </c>
      <c r="F18" s="429">
        <f>SUM(D18:E18)</f>
        <v>540000</v>
      </c>
    </row>
    <row r="19" spans="1:6" ht="12.75">
      <c r="A19" s="41" t="s">
        <v>98</v>
      </c>
      <c r="B19" s="37" t="s">
        <v>278</v>
      </c>
      <c r="C19" s="429">
        <v>3931008</v>
      </c>
      <c r="D19" s="429">
        <v>3931008</v>
      </c>
      <c r="E19" s="429">
        <v>-18197</v>
      </c>
      <c r="F19" s="429">
        <f>SUM(D19:E19)</f>
        <v>3912811</v>
      </c>
    </row>
    <row r="20" spans="1:6" s="2" customFormat="1" ht="13.5">
      <c r="A20" s="109" t="s">
        <v>279</v>
      </c>
      <c r="B20" s="110" t="s">
        <v>160</v>
      </c>
      <c r="C20" s="69">
        <f>SUM('4.számú melléklet'!C60)</f>
        <v>4471008</v>
      </c>
      <c r="D20" s="69">
        <f>SUM('4.számú melléklet'!D60)</f>
        <v>4471008</v>
      </c>
      <c r="E20" s="69">
        <f>SUM('4.számú melléklet'!E60)</f>
        <v>-18197</v>
      </c>
      <c r="F20" s="69">
        <f>SUM('4.számú melléklet'!F60)</f>
        <v>4452811</v>
      </c>
    </row>
    <row r="21" spans="1:6" ht="12.75">
      <c r="A21" s="41" t="s">
        <v>99</v>
      </c>
      <c r="B21" s="37" t="s">
        <v>280</v>
      </c>
      <c r="C21" s="429">
        <v>715750</v>
      </c>
      <c r="D21" s="429">
        <v>747433</v>
      </c>
      <c r="E21" s="429">
        <v>0</v>
      </c>
      <c r="F21" s="429">
        <f>SUM(D21:E21)</f>
        <v>747433</v>
      </c>
    </row>
    <row r="22" spans="1:6" ht="12.75">
      <c r="A22" s="41" t="s">
        <v>100</v>
      </c>
      <c r="B22" s="37" t="s">
        <v>357</v>
      </c>
      <c r="C22" s="429">
        <v>475935</v>
      </c>
      <c r="D22" s="429">
        <v>475935</v>
      </c>
      <c r="E22" s="429">
        <v>0</v>
      </c>
      <c r="F22" s="429">
        <f>SUM(D22:E22)</f>
        <v>475935</v>
      </c>
    </row>
    <row r="23" spans="1:6" ht="12.75">
      <c r="A23" s="41" t="s">
        <v>101</v>
      </c>
      <c r="B23" s="37" t="s">
        <v>281</v>
      </c>
      <c r="C23" s="429">
        <v>360000</v>
      </c>
      <c r="D23" s="429">
        <v>360000</v>
      </c>
      <c r="E23" s="429">
        <v>0</v>
      </c>
      <c r="F23" s="429">
        <f>SUM(D23:E23)</f>
        <v>360000</v>
      </c>
    </row>
    <row r="24" spans="1:6" s="2" customFormat="1" ht="13.5">
      <c r="A24" s="109" t="s">
        <v>282</v>
      </c>
      <c r="B24" s="110" t="s">
        <v>156</v>
      </c>
      <c r="C24" s="69">
        <f>SUM('4.számú melléklet'!C61)</f>
        <v>1551685</v>
      </c>
      <c r="D24" s="69">
        <f>SUM('4.számú melléklet'!D61)</f>
        <v>1583368</v>
      </c>
      <c r="E24" s="69">
        <f>SUM('4.számú melléklet'!E61)</f>
        <v>0</v>
      </c>
      <c r="F24" s="69">
        <f>SUM('4.számú melléklet'!F61)</f>
        <v>1583368</v>
      </c>
    </row>
    <row r="25" spans="1:6" s="397" customFormat="1" ht="27">
      <c r="A25" s="112" t="s">
        <v>396</v>
      </c>
      <c r="B25" s="396" t="s">
        <v>233</v>
      </c>
      <c r="C25" s="24">
        <f>SUM('4.számú melléklet'!C62)</f>
        <v>5000</v>
      </c>
      <c r="D25" s="24">
        <f>SUM('4.számú melléklet'!D62)</f>
        <v>5000</v>
      </c>
      <c r="E25" s="24">
        <f>SUM('4.számú melléklet'!E62)</f>
        <v>0</v>
      </c>
      <c r="F25" s="24">
        <f>SUM('4.számú melléklet'!F62)</f>
        <v>5000</v>
      </c>
    </row>
    <row r="26" spans="1:6" ht="12.75">
      <c r="A26" s="41" t="s">
        <v>102</v>
      </c>
      <c r="B26" s="37" t="s">
        <v>173</v>
      </c>
      <c r="C26" s="429">
        <v>201000</v>
      </c>
      <c r="D26" s="429">
        <v>201000</v>
      </c>
      <c r="E26" s="429">
        <v>0</v>
      </c>
      <c r="F26" s="429">
        <f aca="true" t="shared" si="0" ref="F26:F31">SUM(D26:E26)</f>
        <v>201000</v>
      </c>
    </row>
    <row r="27" spans="1:6" ht="12.75">
      <c r="A27" s="41" t="s">
        <v>103</v>
      </c>
      <c r="B27" s="37" t="s">
        <v>449</v>
      </c>
      <c r="C27" s="429">
        <v>60001</v>
      </c>
      <c r="D27" s="429">
        <v>60001</v>
      </c>
      <c r="E27" s="429">
        <v>0</v>
      </c>
      <c r="F27" s="429">
        <f t="shared" si="0"/>
        <v>60001</v>
      </c>
    </row>
    <row r="28" spans="1:6" ht="12.75">
      <c r="A28" s="41" t="s">
        <v>104</v>
      </c>
      <c r="B28" s="37" t="s">
        <v>23</v>
      </c>
      <c r="C28" s="429">
        <v>298837</v>
      </c>
      <c r="D28" s="429">
        <v>298837</v>
      </c>
      <c r="E28" s="429">
        <v>0</v>
      </c>
      <c r="F28" s="429">
        <f t="shared" si="0"/>
        <v>298837</v>
      </c>
    </row>
    <row r="29" spans="1:6" ht="12.75">
      <c r="A29" s="41" t="s">
        <v>283</v>
      </c>
      <c r="B29" s="37" t="s">
        <v>394</v>
      </c>
      <c r="C29" s="429">
        <v>32108</v>
      </c>
      <c r="D29" s="429">
        <v>32108</v>
      </c>
      <c r="E29" s="429">
        <v>0</v>
      </c>
      <c r="F29" s="429">
        <f t="shared" si="0"/>
        <v>32108</v>
      </c>
    </row>
    <row r="30" spans="1:6" ht="12.75">
      <c r="A30" s="41" t="s">
        <v>284</v>
      </c>
      <c r="B30" s="37" t="s">
        <v>356</v>
      </c>
      <c r="C30" s="429">
        <v>0</v>
      </c>
      <c r="D30" s="429">
        <v>0</v>
      </c>
      <c r="E30" s="429">
        <v>0</v>
      </c>
      <c r="F30" s="429">
        <f t="shared" si="0"/>
        <v>0</v>
      </c>
    </row>
    <row r="31" spans="1:6" ht="12.75">
      <c r="A31" s="41" t="s">
        <v>395</v>
      </c>
      <c r="B31" s="37" t="s">
        <v>371</v>
      </c>
      <c r="C31" s="429">
        <v>8000</v>
      </c>
      <c r="D31" s="429">
        <v>8000</v>
      </c>
      <c r="E31" s="429">
        <v>0</v>
      </c>
      <c r="F31" s="429">
        <f t="shared" si="0"/>
        <v>8000</v>
      </c>
    </row>
    <row r="32" spans="1:6" s="2" customFormat="1" ht="12.75" customHeight="1">
      <c r="A32" s="109" t="s">
        <v>398</v>
      </c>
      <c r="B32" s="110" t="s">
        <v>364</v>
      </c>
      <c r="C32" s="69">
        <f>SUM('4.számú melléklet'!C63)</f>
        <v>599946</v>
      </c>
      <c r="D32" s="69">
        <f>SUM('4.számú melléklet'!D63)</f>
        <v>599946</v>
      </c>
      <c r="E32" s="69">
        <f>SUM('4.számú melléklet'!E63)</f>
        <v>0</v>
      </c>
      <c r="F32" s="69">
        <f>SUM('4.számú melléklet'!F63)</f>
        <v>599946</v>
      </c>
    </row>
    <row r="33" spans="1:6" s="397" customFormat="1" ht="25.5" customHeight="1">
      <c r="A33" s="112" t="s">
        <v>397</v>
      </c>
      <c r="B33" s="396" t="s">
        <v>257</v>
      </c>
      <c r="C33" s="24">
        <f>SUM(C20,C24,C32,C25)</f>
        <v>6627639</v>
      </c>
      <c r="D33" s="24">
        <f>SUM(D20,D24,D32,D25)</f>
        <v>6659322</v>
      </c>
      <c r="E33" s="24">
        <f>SUM(E20,E24,E32,E25)</f>
        <v>-18197</v>
      </c>
      <c r="F33" s="24">
        <f>SUM(F20,F24,F32,F25)</f>
        <v>6641125</v>
      </c>
    </row>
    <row r="34" spans="1:6" s="176" customFormat="1" ht="25.5">
      <c r="A34" s="55" t="s">
        <v>403</v>
      </c>
      <c r="B34" s="398" t="s">
        <v>419</v>
      </c>
      <c r="C34" s="399">
        <v>686597</v>
      </c>
      <c r="D34" s="399">
        <v>686597</v>
      </c>
      <c r="E34" s="399">
        <v>0</v>
      </c>
      <c r="F34" s="399">
        <v>686597</v>
      </c>
    </row>
    <row r="35" spans="1:6" ht="12.75">
      <c r="A35" s="41" t="s">
        <v>399</v>
      </c>
      <c r="B35" s="37" t="s">
        <v>400</v>
      </c>
      <c r="C35" s="429">
        <v>200000</v>
      </c>
      <c r="D35" s="429">
        <v>200000</v>
      </c>
      <c r="E35" s="429">
        <v>0</v>
      </c>
      <c r="F35" s="429">
        <f>SUM(D35:E35)</f>
        <v>200000</v>
      </c>
    </row>
    <row r="36" spans="1:6" ht="12.75">
      <c r="A36" s="41" t="s">
        <v>401</v>
      </c>
      <c r="B36" s="37" t="s">
        <v>20</v>
      </c>
      <c r="C36" s="429">
        <v>0</v>
      </c>
      <c r="D36" s="429">
        <v>0</v>
      </c>
      <c r="E36" s="429">
        <v>0</v>
      </c>
      <c r="F36" s="429">
        <f>SUM(D36:E36)</f>
        <v>0</v>
      </c>
    </row>
    <row r="37" spans="1:6" s="397" customFormat="1" ht="27">
      <c r="A37" s="112" t="s">
        <v>407</v>
      </c>
      <c r="B37" s="396" t="s">
        <v>365</v>
      </c>
      <c r="C37" s="24">
        <f>SUM(C35:C36)</f>
        <v>200000</v>
      </c>
      <c r="D37" s="24">
        <f>SUM(D35:D36)</f>
        <v>200000</v>
      </c>
      <c r="E37" s="24">
        <f>SUM(E35:E36)</f>
        <v>0</v>
      </c>
      <c r="F37" s="24">
        <f>SUM(D37:E37)</f>
        <v>200000</v>
      </c>
    </row>
    <row r="38" spans="1:6" s="2" customFormat="1" ht="13.5">
      <c r="A38" s="109" t="s">
        <v>262</v>
      </c>
      <c r="B38" s="110" t="s">
        <v>161</v>
      </c>
      <c r="C38" s="69">
        <v>0</v>
      </c>
      <c r="D38" s="69">
        <v>0</v>
      </c>
      <c r="E38" s="69">
        <v>0</v>
      </c>
      <c r="F38" s="69">
        <f>SUM(D38:E38)</f>
        <v>0</v>
      </c>
    </row>
    <row r="39" spans="1:6" s="397" customFormat="1" ht="25.5" customHeight="1">
      <c r="A39" s="112" t="s">
        <v>408</v>
      </c>
      <c r="B39" s="396" t="s">
        <v>263</v>
      </c>
      <c r="C39" s="24">
        <f>SUM('3.számú melléklet'!C45+'4.számú melléklet'!C72)</f>
        <v>886597</v>
      </c>
      <c r="D39" s="24">
        <f>SUM('3.számú melléklet'!D45+'4.számú melléklet'!D72)</f>
        <v>886597</v>
      </c>
      <c r="E39" s="24">
        <f>SUM('3.számú melléklet'!E45+'4.számú melléklet'!E72)</f>
        <v>0</v>
      </c>
      <c r="F39" s="24">
        <f>SUM('3.számú melléklet'!F45+'4.számú melléklet'!F72)</f>
        <v>886597</v>
      </c>
    </row>
    <row r="40" spans="1:6" ht="12.75">
      <c r="A40" s="41" t="s">
        <v>402</v>
      </c>
      <c r="B40" s="37" t="s">
        <v>234</v>
      </c>
      <c r="C40" s="429">
        <v>2691854</v>
      </c>
      <c r="D40" s="429">
        <v>2694934</v>
      </c>
      <c r="E40" s="429">
        <v>0</v>
      </c>
      <c r="F40" s="429">
        <f>SUM(D40:E40)</f>
        <v>2694934</v>
      </c>
    </row>
    <row r="41" spans="1:6" s="388" customFormat="1" ht="25.5">
      <c r="A41" s="56" t="s">
        <v>404</v>
      </c>
      <c r="B41" s="402" t="s">
        <v>2</v>
      </c>
      <c r="C41" s="462">
        <v>256801</v>
      </c>
      <c r="D41" s="462">
        <v>256801</v>
      </c>
      <c r="E41" s="462">
        <v>4561</v>
      </c>
      <c r="F41" s="462">
        <f>SUM(D41:E41)</f>
        <v>261362</v>
      </c>
    </row>
    <row r="42" spans="1:6" s="388" customFormat="1" ht="25.5">
      <c r="A42" s="56" t="s">
        <v>405</v>
      </c>
      <c r="B42" s="402" t="s">
        <v>530</v>
      </c>
      <c r="C42" s="462">
        <v>130554</v>
      </c>
      <c r="D42" s="462">
        <v>130554</v>
      </c>
      <c r="E42" s="462">
        <v>70915</v>
      </c>
      <c r="F42" s="462">
        <f>SUM(D42:E42)</f>
        <v>201469</v>
      </c>
    </row>
    <row r="43" spans="1:6" ht="12.75">
      <c r="A43" s="41" t="s">
        <v>406</v>
      </c>
      <c r="B43" s="140" t="s">
        <v>307</v>
      </c>
      <c r="C43" s="429">
        <v>5120</v>
      </c>
      <c r="D43" s="429">
        <v>11902</v>
      </c>
      <c r="E43" s="429">
        <v>3205</v>
      </c>
      <c r="F43" s="429">
        <f>SUM(D43:E43)</f>
        <v>15107</v>
      </c>
    </row>
    <row r="44" spans="1:6" ht="12.75" customHeight="1">
      <c r="A44" s="41" t="s">
        <v>409</v>
      </c>
      <c r="B44" s="37" t="s">
        <v>545</v>
      </c>
      <c r="C44" s="429">
        <v>0</v>
      </c>
      <c r="D44" s="429">
        <v>61688</v>
      </c>
      <c r="E44" s="429">
        <v>75000</v>
      </c>
      <c r="F44" s="429">
        <f>SUM(D44:E44)</f>
        <v>136688</v>
      </c>
    </row>
    <row r="45" spans="1:6" s="2" customFormat="1" ht="12.75" customHeight="1">
      <c r="A45" s="109" t="s">
        <v>291</v>
      </c>
      <c r="B45" s="110" t="s">
        <v>157</v>
      </c>
      <c r="C45" s="69">
        <f>SUM('4.számú melléklet'!C67,'4.számú melléklet'!C73)</f>
        <v>3084329</v>
      </c>
      <c r="D45" s="69">
        <f>SUM('4.számú melléklet'!D67,'4.számú melléklet'!D73)</f>
        <v>3155879</v>
      </c>
      <c r="E45" s="69">
        <f>SUM('4.számú melléklet'!E67,'4.számú melléklet'!E73)</f>
        <v>153681</v>
      </c>
      <c r="F45" s="69">
        <f>SUM('4.számú melléklet'!F67,'4.számú melléklet'!F73)</f>
        <v>3309560</v>
      </c>
    </row>
    <row r="46" spans="1:6" ht="12.75">
      <c r="A46" s="41" t="s">
        <v>289</v>
      </c>
      <c r="B46" s="37" t="s">
        <v>293</v>
      </c>
      <c r="C46" s="429">
        <v>76770</v>
      </c>
      <c r="D46" s="429">
        <v>76770</v>
      </c>
      <c r="E46" s="429">
        <v>0</v>
      </c>
      <c r="F46" s="429">
        <f>SUM(D46:E46)</f>
        <v>76770</v>
      </c>
    </row>
    <row r="47" spans="1:6" ht="12.75">
      <c r="A47" s="107" t="s">
        <v>290</v>
      </c>
      <c r="B47" s="731" t="s">
        <v>510</v>
      </c>
      <c r="C47" s="735">
        <v>790246</v>
      </c>
      <c r="D47" s="735">
        <v>790246</v>
      </c>
      <c r="E47" s="735">
        <v>0</v>
      </c>
      <c r="F47" s="735">
        <f>SUM(D47:E47)</f>
        <v>790246</v>
      </c>
    </row>
    <row r="48" spans="1:6" s="388" customFormat="1" ht="25.5">
      <c r="A48" s="729" t="s">
        <v>292</v>
      </c>
      <c r="B48" s="733" t="s">
        <v>205</v>
      </c>
      <c r="C48" s="738">
        <v>15051</v>
      </c>
      <c r="D48" s="738">
        <v>33028</v>
      </c>
      <c r="E48" s="738">
        <v>18183</v>
      </c>
      <c r="F48" s="737">
        <f>SUM(D48:E48)</f>
        <v>51211</v>
      </c>
    </row>
    <row r="49" spans="1:6" s="388" customFormat="1" ht="12.75">
      <c r="A49" s="730"/>
      <c r="B49" s="734" t="s">
        <v>638</v>
      </c>
      <c r="C49" s="739"/>
      <c r="D49" s="739"/>
      <c r="E49" s="739"/>
      <c r="F49" s="736"/>
    </row>
    <row r="50" spans="1:6" s="388" customFormat="1" ht="25.5">
      <c r="A50" s="478" t="s">
        <v>294</v>
      </c>
      <c r="B50" s="732" t="s">
        <v>24</v>
      </c>
      <c r="C50" s="736">
        <v>251</v>
      </c>
      <c r="D50" s="736">
        <v>4997</v>
      </c>
      <c r="E50" s="736">
        <v>1807</v>
      </c>
      <c r="F50" s="736">
        <f>SUM(D50:E50)</f>
        <v>6804</v>
      </c>
    </row>
    <row r="51" spans="1:6" s="397" customFormat="1" ht="25.5" customHeight="1">
      <c r="A51" s="740" t="s">
        <v>266</v>
      </c>
      <c r="B51" s="741" t="s">
        <v>372</v>
      </c>
      <c r="C51" s="742">
        <f>SUM('3.számú melléklet'!C39+'3.számú melléklet'!C41+'4.számú melléklet'!C64+'4.számú melléklet'!C66)</f>
        <v>882318</v>
      </c>
      <c r="D51" s="742">
        <f>SUM('3.számú melléklet'!D39+'3.számú melléklet'!D41+'4.számú melléklet'!D64+'4.számú melléklet'!D66)</f>
        <v>905041</v>
      </c>
      <c r="E51" s="742">
        <f>SUM('3.számú melléklet'!E39+'3.számú melléklet'!E41+'4.számú melléklet'!E64+'4.számú melléklet'!E66)</f>
        <v>19990</v>
      </c>
      <c r="F51" s="742">
        <f>SUM('3.számú melléklet'!F39+'3.számú melléklet'!F41+'4.számú melléklet'!F64+'4.számú melléklet'!F66)</f>
        <v>925031</v>
      </c>
    </row>
    <row r="52" spans="1:6" s="50" customFormat="1" ht="12.75" customHeight="1">
      <c r="A52" s="745" t="s">
        <v>511</v>
      </c>
      <c r="B52" s="731" t="s">
        <v>207</v>
      </c>
      <c r="C52" s="748">
        <f>SUM('3.számú melléklet'!C42+'4.számú melléklet'!C69)</f>
        <v>466479</v>
      </c>
      <c r="D52" s="748">
        <f>SUM('3.számú melléklet'!D42+'4.számú melléklet'!D69)</f>
        <v>544828</v>
      </c>
      <c r="E52" s="748">
        <f>SUM('3.számú melléklet'!E42+'4.számú melléklet'!E69)</f>
        <v>92760</v>
      </c>
      <c r="F52" s="748">
        <f aca="true" t="shared" si="1" ref="F52:F71">SUM(D52:E52)</f>
        <v>637588</v>
      </c>
    </row>
    <row r="53" spans="1:6" s="50" customFormat="1" ht="12.75" customHeight="1">
      <c r="A53" s="746"/>
      <c r="B53" s="747" t="s">
        <v>639</v>
      </c>
      <c r="C53" s="744"/>
      <c r="D53" s="744"/>
      <c r="E53" s="744"/>
      <c r="F53" s="744"/>
    </row>
    <row r="54" spans="1:6" s="404" customFormat="1" ht="25.5" customHeight="1">
      <c r="A54" s="743" t="s">
        <v>512</v>
      </c>
      <c r="B54" s="732" t="s">
        <v>25</v>
      </c>
      <c r="C54" s="433">
        <f>SUM('3.számú melléklet'!C44+'4.számú melléklet'!C71)</f>
        <v>12990</v>
      </c>
      <c r="D54" s="433">
        <f>SUM('3.számú melléklet'!D44+'4.számú melléklet'!D71)</f>
        <v>17118</v>
      </c>
      <c r="E54" s="433">
        <f>SUM('3.számú melléklet'!E44+'4.számú melléklet'!E71)</f>
        <v>-681</v>
      </c>
      <c r="F54" s="433">
        <f t="shared" si="1"/>
        <v>16437</v>
      </c>
    </row>
    <row r="55" spans="1:6" s="397" customFormat="1" ht="24.75" customHeight="1">
      <c r="A55" s="112" t="s">
        <v>277</v>
      </c>
      <c r="B55" s="396" t="s">
        <v>373</v>
      </c>
      <c r="C55" s="24">
        <f>SUM(C52:C54)</f>
        <v>479469</v>
      </c>
      <c r="D55" s="24">
        <f>SUM(D52:D54)</f>
        <v>561946</v>
      </c>
      <c r="E55" s="24">
        <f>SUM(E52:E54)</f>
        <v>92079</v>
      </c>
      <c r="F55" s="24">
        <f t="shared" si="1"/>
        <v>654025</v>
      </c>
    </row>
    <row r="56" spans="1:6" s="2" customFormat="1" ht="13.5">
      <c r="A56" s="109" t="s">
        <v>515</v>
      </c>
      <c r="B56" s="110" t="s">
        <v>267</v>
      </c>
      <c r="C56" s="69">
        <f>SUM(C51,C55)</f>
        <v>1361787</v>
      </c>
      <c r="D56" s="69">
        <f>SUM(D51,D55)</f>
        <v>1466987</v>
      </c>
      <c r="E56" s="69">
        <f>SUM(E51,E55)</f>
        <v>112069</v>
      </c>
      <c r="F56" s="69">
        <f t="shared" si="1"/>
        <v>1579056</v>
      </c>
    </row>
    <row r="57" spans="1:6" s="397" customFormat="1" ht="25.5" customHeight="1">
      <c r="A57" s="112" t="s">
        <v>152</v>
      </c>
      <c r="B57" s="396" t="s">
        <v>268</v>
      </c>
      <c r="C57" s="400">
        <f>SUM('4.számú melléklet'!C75)</f>
        <v>20925</v>
      </c>
      <c r="D57" s="400">
        <f>SUM('4.számú melléklet'!D75)</f>
        <v>20925</v>
      </c>
      <c r="E57" s="400">
        <f>SUM('4.számú melléklet'!E75)</f>
        <v>0</v>
      </c>
      <c r="F57" s="400">
        <f t="shared" si="1"/>
        <v>20925</v>
      </c>
    </row>
    <row r="58" spans="1:6" s="397" customFormat="1" ht="13.5" customHeight="1">
      <c r="A58" s="112" t="s">
        <v>153</v>
      </c>
      <c r="B58" s="396" t="s">
        <v>26</v>
      </c>
      <c r="C58" s="400">
        <f>SUM('4.számú melléklet'!C76)</f>
        <v>0</v>
      </c>
      <c r="D58" s="400">
        <f>SUM('4.számú melléklet'!D76)</f>
        <v>0</v>
      </c>
      <c r="E58" s="400">
        <f>SUM('4.számú melléklet'!E76)</f>
        <v>0</v>
      </c>
      <c r="F58" s="400">
        <f t="shared" si="1"/>
        <v>0</v>
      </c>
    </row>
    <row r="59" spans="1:6" s="2" customFormat="1" ht="13.5" customHeight="1">
      <c r="A59" s="41" t="s">
        <v>513</v>
      </c>
      <c r="B59" s="37" t="s">
        <v>244</v>
      </c>
      <c r="C59" s="184">
        <f>SUM('4.számú melléklet'!C77)</f>
        <v>0</v>
      </c>
      <c r="D59" s="184">
        <f>SUM('4.számú melléklet'!D77)</f>
        <v>0</v>
      </c>
      <c r="E59" s="184">
        <f>SUM('4.számú melléklet'!E77)</f>
        <v>0</v>
      </c>
      <c r="F59" s="184">
        <f t="shared" si="1"/>
        <v>0</v>
      </c>
    </row>
    <row r="60" spans="1:6" s="2" customFormat="1" ht="12.75">
      <c r="A60" s="41" t="s">
        <v>514</v>
      </c>
      <c r="B60" s="37" t="s">
        <v>245</v>
      </c>
      <c r="C60" s="184">
        <f>SUM('4.számú melléklet'!C78)</f>
        <v>0</v>
      </c>
      <c r="D60" s="184">
        <f>SUM('4.számú melléklet'!D78)</f>
        <v>0</v>
      </c>
      <c r="E60" s="184">
        <f>SUM('4.számú melléklet'!E78)</f>
        <v>545</v>
      </c>
      <c r="F60" s="184">
        <f t="shared" si="1"/>
        <v>545</v>
      </c>
    </row>
    <row r="61" spans="1:6" s="2" customFormat="1" ht="12.75">
      <c r="A61" s="41" t="s">
        <v>134</v>
      </c>
      <c r="B61" s="37" t="s">
        <v>226</v>
      </c>
      <c r="C61" s="184">
        <f>SUM('4.számú melléklet'!C79)</f>
        <v>0</v>
      </c>
      <c r="D61" s="184">
        <f>SUM('4.számú melléklet'!D79)</f>
        <v>0</v>
      </c>
      <c r="E61" s="184">
        <f>SUM('4.számú melléklet'!E79)</f>
        <v>0</v>
      </c>
      <c r="F61" s="184">
        <f t="shared" si="1"/>
        <v>0</v>
      </c>
    </row>
    <row r="62" spans="1:6" s="2" customFormat="1" ht="13.5">
      <c r="A62" s="109" t="s">
        <v>119</v>
      </c>
      <c r="B62" s="110" t="s">
        <v>158</v>
      </c>
      <c r="C62" s="341">
        <f>SUM(C59:C61)</f>
        <v>0</v>
      </c>
      <c r="D62" s="341">
        <f>SUM(D59:D61)</f>
        <v>0</v>
      </c>
      <c r="E62" s="341">
        <f>SUM(E59:E61)</f>
        <v>545</v>
      </c>
      <c r="F62" s="341">
        <f t="shared" si="1"/>
        <v>545</v>
      </c>
    </row>
    <row r="63" spans="1:6" s="2" customFormat="1" ht="13.5" customHeight="1">
      <c r="A63" s="56" t="s">
        <v>117</v>
      </c>
      <c r="B63" s="37" t="s">
        <v>235</v>
      </c>
      <c r="C63" s="66">
        <v>0</v>
      </c>
      <c r="D63" s="66">
        <v>12843029</v>
      </c>
      <c r="E63" s="66">
        <v>0</v>
      </c>
      <c r="F63" s="66">
        <f t="shared" si="1"/>
        <v>12843029</v>
      </c>
    </row>
    <row r="64" spans="1:6" s="2" customFormat="1" ht="13.5" customHeight="1">
      <c r="A64" s="56" t="s">
        <v>260</v>
      </c>
      <c r="B64" s="37" t="s">
        <v>27</v>
      </c>
      <c r="C64" s="66">
        <v>0</v>
      </c>
      <c r="D64" s="66">
        <v>416</v>
      </c>
      <c r="E64" s="66">
        <v>0</v>
      </c>
      <c r="F64" s="66">
        <f t="shared" si="1"/>
        <v>416</v>
      </c>
    </row>
    <row r="65" spans="1:6" s="2" customFormat="1" ht="12.75" customHeight="1">
      <c r="A65" s="112" t="s">
        <v>303</v>
      </c>
      <c r="B65" s="110" t="s">
        <v>159</v>
      </c>
      <c r="C65" s="341">
        <f>SUM('4.számú melléklet'!C83+'3.számú melléklet'!C46)</f>
        <v>0</v>
      </c>
      <c r="D65" s="341">
        <f>SUM('4.számú melléklet'!D83+'3.számú melléklet'!D46)</f>
        <v>12843445</v>
      </c>
      <c r="E65" s="341">
        <f>SUM('4.számú melléklet'!E83+'3.számú melléklet'!E46)</f>
        <v>0</v>
      </c>
      <c r="F65" s="341">
        <f t="shared" si="1"/>
        <v>12843445</v>
      </c>
    </row>
    <row r="66" spans="1:6" s="2" customFormat="1" ht="15.75" customHeight="1">
      <c r="A66" s="112"/>
      <c r="B66" s="110" t="s">
        <v>497</v>
      </c>
      <c r="C66" s="341">
        <f>SUM(C17,C33,C39,C45,C56,C57,C58,C62,C65)</f>
        <v>13361466</v>
      </c>
      <c r="D66" s="341">
        <f>SUM(D17,D33,D39,D45,D56,D57,D58,D62,D65)</f>
        <v>26415594</v>
      </c>
      <c r="E66" s="341">
        <f>SUM(E17,E33,E39,E45,E56,E57,E58,E62,E65)</f>
        <v>249898</v>
      </c>
      <c r="F66" s="341">
        <f t="shared" si="1"/>
        <v>26665492</v>
      </c>
    </row>
    <row r="67" spans="1:6" s="404" customFormat="1" ht="15" customHeight="1">
      <c r="A67" s="56" t="s">
        <v>261</v>
      </c>
      <c r="B67" s="402" t="s">
        <v>308</v>
      </c>
      <c r="C67" s="403">
        <f>SUM('4.számú melléklet'!C85)</f>
        <v>2997261</v>
      </c>
      <c r="D67" s="403">
        <f>SUM('4.számú melléklet'!D85)</f>
        <v>3065726</v>
      </c>
      <c r="E67" s="403">
        <f>SUM('4.számú melléklet'!E85)</f>
        <v>51243</v>
      </c>
      <c r="F67" s="403">
        <f t="shared" si="1"/>
        <v>3116969</v>
      </c>
    </row>
    <row r="68" spans="1:6" s="2" customFormat="1" ht="15" customHeight="1">
      <c r="A68" s="112" t="s">
        <v>304</v>
      </c>
      <c r="B68" s="110" t="s">
        <v>504</v>
      </c>
      <c r="C68" s="341">
        <f>SUM('4.számú melléklet'!C86)</f>
        <v>2997261</v>
      </c>
      <c r="D68" s="341">
        <f>SUM('4.számú melléklet'!D86)</f>
        <v>3065726</v>
      </c>
      <c r="E68" s="341">
        <f>SUM('4.számú melléklet'!E86)</f>
        <v>51243</v>
      </c>
      <c r="F68" s="341">
        <f t="shared" si="1"/>
        <v>3116969</v>
      </c>
    </row>
    <row r="69" spans="1:6" s="397" customFormat="1" ht="25.5" customHeight="1">
      <c r="A69" s="112" t="s">
        <v>498</v>
      </c>
      <c r="B69" s="396" t="s">
        <v>243</v>
      </c>
      <c r="C69" s="24">
        <f>SUM('3.számú melléklet'!C48)</f>
        <v>7528303</v>
      </c>
      <c r="D69" s="24">
        <f>SUM('3.számú melléklet'!D48)</f>
        <v>8322090</v>
      </c>
      <c r="E69" s="24">
        <f>SUM('3.számú melléklet'!E48)</f>
        <v>50956</v>
      </c>
      <c r="F69" s="24">
        <f t="shared" si="1"/>
        <v>8373046</v>
      </c>
    </row>
    <row r="70" spans="1:6" s="397" customFormat="1" ht="27.75" customHeight="1">
      <c r="A70" s="112" t="s">
        <v>380</v>
      </c>
      <c r="B70" s="396" t="s">
        <v>111</v>
      </c>
      <c r="C70" s="24">
        <f>SUM('3.számú melléklet'!C48)*-1</f>
        <v>-7528303</v>
      </c>
      <c r="D70" s="24">
        <f>SUM('3.számú melléklet'!D48)*-1</f>
        <v>-8322090</v>
      </c>
      <c r="E70" s="24">
        <f>SUM('3.számú melléklet'!E48)*-1</f>
        <v>-50956</v>
      </c>
      <c r="F70" s="24">
        <f t="shared" si="1"/>
        <v>-8373046</v>
      </c>
    </row>
    <row r="71" spans="1:6" s="2" customFormat="1" ht="15" customHeight="1">
      <c r="A71" s="109"/>
      <c r="B71" s="110" t="s">
        <v>139</v>
      </c>
      <c r="C71" s="69">
        <f>SUM(C66,C68,C69:C70)</f>
        <v>16358727</v>
      </c>
      <c r="D71" s="69">
        <f>SUM(D66,D68,D69:D70)</f>
        <v>29481320</v>
      </c>
      <c r="E71" s="69">
        <f>SUM(E66,E68,E69:E70)</f>
        <v>301141</v>
      </c>
      <c r="F71" s="69">
        <f t="shared" si="1"/>
        <v>29782461</v>
      </c>
    </row>
    <row r="72" spans="1:6" s="340" customFormat="1" ht="12.75" customHeight="1">
      <c r="A72" s="41" t="s">
        <v>302</v>
      </c>
      <c r="B72" s="278" t="s">
        <v>418</v>
      </c>
      <c r="C72" s="280"/>
      <c r="D72" s="280"/>
      <c r="E72" s="280"/>
      <c r="F72" s="280"/>
    </row>
    <row r="73" spans="1:6" s="2" customFormat="1" ht="13.5" customHeight="1">
      <c r="A73" s="109"/>
      <c r="B73" s="110" t="s">
        <v>89</v>
      </c>
      <c r="C73" s="69">
        <f>SUM(C71:C72)</f>
        <v>16358727</v>
      </c>
      <c r="D73" s="69">
        <f>SUM(D71:D72)</f>
        <v>29481320</v>
      </c>
      <c r="E73" s="69">
        <f>SUM(E71:E72)</f>
        <v>301141</v>
      </c>
      <c r="F73" s="69">
        <f>SUM(D73:E73)</f>
        <v>29782461</v>
      </c>
    </row>
  </sheetData>
  <mergeCells count="2">
    <mergeCell ref="A3:F3"/>
    <mergeCell ref="A4:F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CE,Normál"1.számú melléklet
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F6" sqref="F6"/>
    </sheetView>
  </sheetViews>
  <sheetFormatPr defaultColWidth="9.140625" defaultRowHeight="12.75"/>
  <cols>
    <col min="1" max="1" width="4.28125" style="8" customWidth="1"/>
    <col min="2" max="2" width="38.57421875" style="10" customWidth="1"/>
    <col min="3" max="3" width="10.7109375" style="9" customWidth="1"/>
    <col min="4" max="4" width="11.140625" style="9" customWidth="1"/>
    <col min="5" max="5" width="10.28125" style="540" customWidth="1"/>
    <col min="6" max="6" width="11.421875" style="3" customWidth="1"/>
    <col min="7" max="16384" width="8.8515625" style="3" customWidth="1"/>
  </cols>
  <sheetData>
    <row r="1" spans="1:6" ht="18.75">
      <c r="A1" s="933" t="s">
        <v>130</v>
      </c>
      <c r="B1" s="936"/>
      <c r="C1" s="936"/>
      <c r="D1" s="936"/>
      <c r="E1" s="936"/>
      <c r="F1" s="936"/>
    </row>
    <row r="2" spans="1:6" ht="21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246</v>
      </c>
      <c r="B4" s="936"/>
      <c r="C4" s="936"/>
      <c r="D4" s="936"/>
      <c r="E4" s="936"/>
      <c r="F4" s="936"/>
    </row>
    <row r="5" spans="2:6" ht="12.7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35">
        <v>396.5</v>
      </c>
      <c r="D8" s="535">
        <v>396.5</v>
      </c>
      <c r="E8" s="535">
        <v>0</v>
      </c>
      <c r="F8" s="689">
        <f>SUM(D8:E8)</f>
        <v>396.5</v>
      </c>
    </row>
    <row r="9" spans="1:6" s="33" customFormat="1" ht="12" customHeight="1">
      <c r="A9" s="159"/>
      <c r="B9" s="64" t="s">
        <v>59</v>
      </c>
      <c r="C9" s="536"/>
      <c r="D9" s="536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29">
        <v>829441</v>
      </c>
      <c r="D10" s="29">
        <v>874638</v>
      </c>
      <c r="E10" s="29">
        <v>12676</v>
      </c>
      <c r="F10" s="660">
        <f>SUM(D10:E10)</f>
        <v>887314</v>
      </c>
    </row>
    <row r="11" spans="1:6" s="7" customFormat="1" ht="12" customHeight="1">
      <c r="A11" s="187" t="s">
        <v>248</v>
      </c>
      <c r="B11" s="449" t="s">
        <v>61</v>
      </c>
      <c r="C11" s="29">
        <f>SUM(C12:C15)</f>
        <v>261731</v>
      </c>
      <c r="D11" s="29">
        <f>SUM(D12:D15)</f>
        <v>276022</v>
      </c>
      <c r="E11" s="29">
        <f>SUM(E12:E15)</f>
        <v>4057</v>
      </c>
      <c r="F11" s="660">
        <f aca="true" t="shared" si="0" ref="F11:F16">SUM(D11:E11)</f>
        <v>280079</v>
      </c>
    </row>
    <row r="12" spans="1:6" s="7" customFormat="1" ht="12" customHeight="1">
      <c r="A12" s="187"/>
      <c r="B12" s="445" t="s">
        <v>375</v>
      </c>
      <c r="C12" s="29">
        <v>227236</v>
      </c>
      <c r="D12" s="29">
        <v>240172</v>
      </c>
      <c r="E12" s="29">
        <v>3677</v>
      </c>
      <c r="F12" s="660">
        <f t="shared" si="0"/>
        <v>243849</v>
      </c>
    </row>
    <row r="13" spans="1:6" s="7" customFormat="1" ht="12" customHeight="1">
      <c r="A13" s="187"/>
      <c r="B13" s="445" t="s">
        <v>212</v>
      </c>
      <c r="C13" s="29">
        <v>22419</v>
      </c>
      <c r="D13" s="29">
        <v>23747</v>
      </c>
      <c r="E13" s="29">
        <v>380</v>
      </c>
      <c r="F13" s="660">
        <f t="shared" si="0"/>
        <v>24127</v>
      </c>
    </row>
    <row r="14" spans="1:6" s="7" customFormat="1" ht="12" customHeight="1">
      <c r="A14" s="187"/>
      <c r="B14" s="445" t="s">
        <v>213</v>
      </c>
      <c r="C14" s="29">
        <v>8668</v>
      </c>
      <c r="D14" s="29">
        <v>8695</v>
      </c>
      <c r="E14" s="29">
        <v>0</v>
      </c>
      <c r="F14" s="660">
        <f t="shared" si="0"/>
        <v>8695</v>
      </c>
    </row>
    <row r="15" spans="1:6" s="7" customFormat="1" ht="12" customHeight="1">
      <c r="A15" s="187"/>
      <c r="B15" s="445" t="s">
        <v>374</v>
      </c>
      <c r="C15" s="29">
        <v>3408</v>
      </c>
      <c r="D15" s="29">
        <v>3408</v>
      </c>
      <c r="E15" s="29">
        <v>0</v>
      </c>
      <c r="F15" s="660">
        <f t="shared" si="0"/>
        <v>3408</v>
      </c>
    </row>
    <row r="16" spans="1:6" s="7" customFormat="1" ht="12" customHeight="1">
      <c r="A16" s="187" t="s">
        <v>249</v>
      </c>
      <c r="B16" s="448" t="s">
        <v>62</v>
      </c>
      <c r="C16" s="29">
        <v>472754</v>
      </c>
      <c r="D16" s="29">
        <v>527974</v>
      </c>
      <c r="E16" s="29">
        <v>-9875</v>
      </c>
      <c r="F16" s="660">
        <f t="shared" si="0"/>
        <v>518099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8118</v>
      </c>
      <c r="D17" s="768">
        <f>D18+D20</f>
        <v>8118</v>
      </c>
      <c r="E17" s="768">
        <f>E18+E20</f>
        <v>19015</v>
      </c>
      <c r="F17" s="769">
        <f aca="true" t="shared" si="1" ref="F17:F25">SUM(D17:E17)</f>
        <v>27133</v>
      </c>
    </row>
    <row r="18" spans="1:6" s="7" customFormat="1" ht="12" customHeight="1">
      <c r="A18" s="755"/>
      <c r="B18" s="731" t="s">
        <v>471</v>
      </c>
      <c r="C18" s="471">
        <v>0</v>
      </c>
      <c r="D18" s="471">
        <v>0</v>
      </c>
      <c r="E18" s="471">
        <v>19015</v>
      </c>
      <c r="F18" s="663">
        <f t="shared" si="1"/>
        <v>19015</v>
      </c>
    </row>
    <row r="19" spans="1:6" s="7" customFormat="1" ht="12" customHeight="1">
      <c r="A19" s="756"/>
      <c r="B19" s="770" t="s">
        <v>639</v>
      </c>
      <c r="C19" s="474">
        <v>0</v>
      </c>
      <c r="D19" s="474">
        <v>0</v>
      </c>
      <c r="E19" s="474">
        <v>19015</v>
      </c>
      <c r="F19" s="664">
        <f>SUM(D19:E19)</f>
        <v>19015</v>
      </c>
    </row>
    <row r="20" spans="1:6" s="7" customFormat="1" ht="24" customHeight="1">
      <c r="A20" s="756"/>
      <c r="B20" s="732" t="s">
        <v>472</v>
      </c>
      <c r="C20" s="474">
        <v>8118</v>
      </c>
      <c r="D20" s="474">
        <v>8118</v>
      </c>
      <c r="E20" s="474">
        <v>0</v>
      </c>
      <c r="F20" s="664">
        <f t="shared" si="1"/>
        <v>8118</v>
      </c>
    </row>
    <row r="21" spans="1:6" s="7" customFormat="1" ht="12" customHeight="1">
      <c r="A21" s="187" t="s">
        <v>96</v>
      </c>
      <c r="B21" s="448" t="s">
        <v>192</v>
      </c>
      <c r="C21" s="29">
        <v>0</v>
      </c>
      <c r="D21" s="2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1572044</v>
      </c>
      <c r="D22" s="500">
        <f>SUM(D10,D11,D16,D17,D21)</f>
        <v>1686752</v>
      </c>
      <c r="E22" s="500">
        <f>SUM(E10,E11,E16,E17,E21)</f>
        <v>25873</v>
      </c>
      <c r="F22" s="661">
        <f t="shared" si="1"/>
        <v>1712625</v>
      </c>
    </row>
    <row r="23" spans="1:6" s="7" customFormat="1" ht="12" customHeight="1">
      <c r="A23" s="187" t="s">
        <v>97</v>
      </c>
      <c r="B23" s="448" t="s">
        <v>214</v>
      </c>
      <c r="C23" s="29">
        <v>4000</v>
      </c>
      <c r="D23" s="29">
        <v>93840</v>
      </c>
      <c r="E23" s="29">
        <v>2732</v>
      </c>
      <c r="F23" s="660">
        <f t="shared" si="1"/>
        <v>96572</v>
      </c>
    </row>
    <row r="24" spans="1:6" s="7" customFormat="1" ht="12" customHeight="1">
      <c r="A24" s="187" t="s">
        <v>98</v>
      </c>
      <c r="B24" s="448" t="s">
        <v>217</v>
      </c>
      <c r="C24" s="29">
        <v>0</v>
      </c>
      <c r="D24" s="29">
        <v>15000</v>
      </c>
      <c r="E24" s="29">
        <v>0</v>
      </c>
      <c r="F24" s="660">
        <f t="shared" si="1"/>
        <v>15000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6600</v>
      </c>
      <c r="E25" s="465">
        <f>E27+E29</f>
        <v>860</v>
      </c>
      <c r="F25" s="668">
        <f t="shared" si="1"/>
        <v>7460</v>
      </c>
    </row>
    <row r="26" spans="1:6" s="7" customFormat="1" ht="12" customHeight="1" hidden="1">
      <c r="A26" s="755"/>
      <c r="B26" s="759"/>
      <c r="C26" s="471"/>
      <c r="D26" s="471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471">
        <v>0</v>
      </c>
      <c r="D27" s="471">
        <v>0</v>
      </c>
      <c r="E27" s="471">
        <v>860</v>
      </c>
      <c r="F27" s="663">
        <f>SUM(D27:E27)</f>
        <v>860</v>
      </c>
    </row>
    <row r="28" spans="1:6" s="57" customFormat="1" ht="12" customHeight="1">
      <c r="A28" s="472"/>
      <c r="B28" s="770" t="s">
        <v>639</v>
      </c>
      <c r="C28" s="474">
        <v>0</v>
      </c>
      <c r="D28" s="474">
        <v>0</v>
      </c>
      <c r="E28" s="474">
        <v>860</v>
      </c>
      <c r="F28" s="664">
        <f>SUM(D28:E28)</f>
        <v>860</v>
      </c>
    </row>
    <row r="29" spans="1:6" s="57" customFormat="1" ht="24" customHeight="1">
      <c r="A29" s="472"/>
      <c r="B29" s="732" t="s">
        <v>475</v>
      </c>
      <c r="C29" s="474">
        <v>0</v>
      </c>
      <c r="D29" s="474">
        <v>6600</v>
      </c>
      <c r="E29" s="474">
        <v>0</v>
      </c>
      <c r="F29" s="664">
        <f>SUM(D29:E29)</f>
        <v>6600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4000</v>
      </c>
      <c r="D30" s="498">
        <f>SUM(D23,D24,D25)</f>
        <v>115440</v>
      </c>
      <c r="E30" s="498">
        <f>SUM(E23,E24,E25)</f>
        <v>3592</v>
      </c>
      <c r="F30" s="661">
        <f>SUM(D30:E30)</f>
        <v>119032</v>
      </c>
    </row>
    <row r="31" spans="1:6" s="455" customFormat="1" ht="13.5" customHeight="1">
      <c r="A31" s="453"/>
      <c r="B31" s="454" t="s">
        <v>120</v>
      </c>
      <c r="C31" s="456">
        <f>SUM(C22,C23:C25)</f>
        <v>1576044</v>
      </c>
      <c r="D31" s="456">
        <f>SUM(D22,D23:D25)</f>
        <v>1802192</v>
      </c>
      <c r="E31" s="456">
        <f>SUM(E22,E23:E25)</f>
        <v>29465</v>
      </c>
      <c r="F31" s="662">
        <f>SUM(D31:E31)</f>
        <v>1831657</v>
      </c>
    </row>
    <row r="32" spans="1:6" s="33" customFormat="1" ht="12" customHeight="1">
      <c r="A32" s="159"/>
      <c r="B32" s="53" t="s">
        <v>378</v>
      </c>
      <c r="C32" s="29"/>
      <c r="D32" s="29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29">
        <v>0</v>
      </c>
      <c r="D33" s="2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471">
        <v>65481</v>
      </c>
      <c r="D34" s="669">
        <v>65481</v>
      </c>
      <c r="E34" s="669">
        <v>0</v>
      </c>
      <c r="F34" s="663">
        <f>SUM(D34:E34)</f>
        <v>65481</v>
      </c>
    </row>
    <row r="35" spans="1:6" s="33" customFormat="1" ht="12" customHeight="1">
      <c r="A35" s="472"/>
      <c r="B35" s="473" t="s">
        <v>458</v>
      </c>
      <c r="C35" s="474"/>
      <c r="D35" s="670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29">
        <v>15703</v>
      </c>
      <c r="D36" s="29">
        <v>15703</v>
      </c>
      <c r="E36" s="29">
        <v>0</v>
      </c>
      <c r="F36" s="664">
        <f aca="true" t="shared" si="2" ref="F36:F51">SUM(D36:E36)</f>
        <v>15703</v>
      </c>
    </row>
    <row r="37" spans="1:6" s="33" customFormat="1" ht="12" customHeight="1">
      <c r="A37" s="150" t="s">
        <v>95</v>
      </c>
      <c r="B37" s="35" t="s">
        <v>421</v>
      </c>
      <c r="C37" s="29">
        <v>8262</v>
      </c>
      <c r="D37" s="29">
        <v>8262</v>
      </c>
      <c r="E37" s="29">
        <v>0</v>
      </c>
      <c r="F37" s="664">
        <f t="shared" si="2"/>
        <v>8262</v>
      </c>
    </row>
    <row r="38" spans="1:6" s="33" customFormat="1" ht="12" customHeight="1">
      <c r="A38" s="469" t="s">
        <v>96</v>
      </c>
      <c r="B38" s="760" t="s">
        <v>297</v>
      </c>
      <c r="C38" s="471">
        <v>505</v>
      </c>
      <c r="D38" s="471">
        <v>505</v>
      </c>
      <c r="E38" s="471">
        <v>0</v>
      </c>
      <c r="F38" s="771">
        <f t="shared" si="2"/>
        <v>505</v>
      </c>
    </row>
    <row r="39" spans="1:6" s="33" customFormat="1" ht="25.5" customHeight="1">
      <c r="A39" s="469" t="s">
        <v>97</v>
      </c>
      <c r="B39" s="762" t="s">
        <v>205</v>
      </c>
      <c r="C39" s="471">
        <v>790246</v>
      </c>
      <c r="D39" s="471">
        <v>790246</v>
      </c>
      <c r="E39" s="669">
        <v>0</v>
      </c>
      <c r="F39" s="663">
        <f t="shared" si="2"/>
        <v>790246</v>
      </c>
    </row>
    <row r="40" spans="1:6" s="33" customFormat="1" ht="12" customHeight="1">
      <c r="A40" s="472"/>
      <c r="B40" s="772" t="s">
        <v>639</v>
      </c>
      <c r="C40" s="474">
        <v>0</v>
      </c>
      <c r="D40" s="474">
        <v>0</v>
      </c>
      <c r="E40" s="670">
        <v>0</v>
      </c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3">
        <v>0</v>
      </c>
      <c r="D41" s="773">
        <v>0</v>
      </c>
      <c r="E41" s="773">
        <v>0</v>
      </c>
      <c r="F41" s="771">
        <f t="shared" si="2"/>
        <v>0</v>
      </c>
    </row>
    <row r="42" spans="1:6" s="33" customFormat="1" ht="12" customHeight="1">
      <c r="A42" s="931" t="s">
        <v>99</v>
      </c>
      <c r="B42" s="762" t="s">
        <v>207</v>
      </c>
      <c r="C42" s="471">
        <v>0</v>
      </c>
      <c r="D42" s="47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474">
        <v>0</v>
      </c>
      <c r="D43" s="474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474">
        <v>0</v>
      </c>
      <c r="D44" s="474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29">
        <v>0</v>
      </c>
      <c r="D45" s="2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29">
        <v>0</v>
      </c>
      <c r="D46" s="29">
        <v>90932</v>
      </c>
      <c r="E46" s="29">
        <v>0</v>
      </c>
      <c r="F46" s="660">
        <f t="shared" si="2"/>
        <v>90932</v>
      </c>
    </row>
    <row r="47" spans="1:6" s="531" customFormat="1" ht="12" customHeight="1">
      <c r="A47" s="529"/>
      <c r="B47" s="530" t="s">
        <v>133</v>
      </c>
      <c r="C47" s="498">
        <f>SUM(C33:C46)-C35-C40-C43</f>
        <v>880197</v>
      </c>
      <c r="D47" s="498">
        <f>SUM(D33:D46)-D35-D40-D43</f>
        <v>971129</v>
      </c>
      <c r="E47" s="498">
        <f>SUM(E33:E46)-E35-E40-E43</f>
        <v>0</v>
      </c>
      <c r="F47" s="661">
        <f t="shared" si="2"/>
        <v>971129</v>
      </c>
    </row>
    <row r="48" spans="1:6" s="533" customFormat="1" ht="13.5">
      <c r="A48" s="534" t="s">
        <v>103</v>
      </c>
      <c r="B48" s="530" t="s">
        <v>423</v>
      </c>
      <c r="C48" s="498">
        <v>695847</v>
      </c>
      <c r="D48" s="498">
        <v>831063</v>
      </c>
      <c r="E48" s="498">
        <v>29465</v>
      </c>
      <c r="F48" s="665">
        <f t="shared" si="2"/>
        <v>860528</v>
      </c>
    </row>
    <row r="49" spans="1:6" s="420" customFormat="1" ht="11.25" customHeight="1">
      <c r="A49" s="373"/>
      <c r="B49" s="446" t="s">
        <v>211</v>
      </c>
      <c r="C49" s="545">
        <v>102016</v>
      </c>
      <c r="D49" s="545">
        <v>102016</v>
      </c>
      <c r="E49" s="450">
        <v>52358</v>
      </c>
      <c r="F49" s="660">
        <f t="shared" si="2"/>
        <v>154374</v>
      </c>
    </row>
    <row r="50" spans="1:6" s="420" customFormat="1" ht="10.5" customHeight="1">
      <c r="A50" s="373"/>
      <c r="B50" s="543" t="s">
        <v>462</v>
      </c>
      <c r="C50" s="545">
        <v>0</v>
      </c>
      <c r="D50" s="545">
        <v>0</v>
      </c>
      <c r="E50" s="450">
        <v>724</v>
      </c>
      <c r="F50" s="660">
        <f t="shared" si="2"/>
        <v>724</v>
      </c>
    </row>
    <row r="51" spans="1:6" s="420" customFormat="1" ht="11.25" customHeight="1">
      <c r="A51" s="418"/>
      <c r="B51" s="451" t="s">
        <v>113</v>
      </c>
      <c r="C51" s="419">
        <f>SUM(C47:C48)</f>
        <v>1576044</v>
      </c>
      <c r="D51" s="419">
        <f>SUM(D47:D48)</f>
        <v>1802192</v>
      </c>
      <c r="E51" s="419">
        <f>SUM(E47:E48)</f>
        <v>29465</v>
      </c>
      <c r="F51" s="662">
        <f t="shared" si="2"/>
        <v>1831657</v>
      </c>
    </row>
    <row r="52" spans="5:7" ht="15.75">
      <c r="E52" s="546"/>
      <c r="F52" s="507"/>
      <c r="G52" s="8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CE,Normál"3/c.számú melléklet                
       </oddHeader>
    <oddFooter>&amp;L&amp;"Times New Roman CE,Normál"&amp;8&amp;F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F6" sqref="F6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9.57421875" style="9" customWidth="1"/>
    <col min="4" max="4" width="11.00390625" style="9" customWidth="1"/>
    <col min="5" max="5" width="10.28125" style="540" customWidth="1"/>
    <col min="6" max="6" width="11.421875" style="3" customWidth="1"/>
    <col min="7" max="16384" width="8.8515625" style="3" customWidth="1"/>
  </cols>
  <sheetData>
    <row r="1" spans="1:6" ht="16.5" customHeight="1">
      <c r="A1" s="933" t="s">
        <v>130</v>
      </c>
      <c r="B1" s="936"/>
      <c r="C1" s="936"/>
      <c r="D1" s="936"/>
      <c r="E1" s="936"/>
      <c r="F1" s="936"/>
    </row>
    <row r="2" spans="1:6" ht="22.5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270</v>
      </c>
      <c r="B4" s="936"/>
      <c r="C4" s="936"/>
      <c r="D4" s="936"/>
      <c r="E4" s="936"/>
      <c r="F4" s="936"/>
    </row>
    <row r="5" spans="2:6" ht="13.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44">
        <v>82</v>
      </c>
      <c r="D8" s="544">
        <v>82</v>
      </c>
      <c r="E8" s="535">
        <v>-2</v>
      </c>
      <c r="F8" s="689">
        <f>SUM(D8:E8)</f>
        <v>80</v>
      </c>
    </row>
    <row r="9" spans="1:6" s="33" customFormat="1" ht="12" customHeight="1">
      <c r="A9" s="159"/>
      <c r="B9" s="64" t="s">
        <v>59</v>
      </c>
      <c r="C9" s="498"/>
      <c r="D9" s="498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499">
        <v>202321</v>
      </c>
      <c r="D10" s="499">
        <v>209428</v>
      </c>
      <c r="E10" s="29">
        <v>200</v>
      </c>
      <c r="F10" s="660">
        <f>SUM(D10:E10)</f>
        <v>209628</v>
      </c>
    </row>
    <row r="11" spans="1:6" s="7" customFormat="1" ht="12" customHeight="1">
      <c r="A11" s="187" t="s">
        <v>248</v>
      </c>
      <c r="B11" s="449" t="s">
        <v>61</v>
      </c>
      <c r="C11" s="499">
        <f>SUM(C12:C15)</f>
        <v>65008</v>
      </c>
      <c r="D11" s="499">
        <f>SUM(D12:D15)</f>
        <v>66842</v>
      </c>
      <c r="E11" s="29">
        <f>SUM(E12:E15)</f>
        <v>64</v>
      </c>
      <c r="F11" s="660">
        <f aca="true" t="shared" si="0" ref="F11:F16">SUM(D11:E11)</f>
        <v>66906</v>
      </c>
    </row>
    <row r="12" spans="1:6" s="7" customFormat="1" ht="12" customHeight="1">
      <c r="A12" s="187"/>
      <c r="B12" s="445" t="s">
        <v>375</v>
      </c>
      <c r="C12" s="499">
        <v>56982</v>
      </c>
      <c r="D12" s="499">
        <v>58644</v>
      </c>
      <c r="E12" s="29">
        <v>58</v>
      </c>
      <c r="F12" s="660">
        <f t="shared" si="0"/>
        <v>58702</v>
      </c>
    </row>
    <row r="13" spans="1:6" s="7" customFormat="1" ht="12" customHeight="1">
      <c r="A13" s="187"/>
      <c r="B13" s="445" t="s">
        <v>212</v>
      </c>
      <c r="C13" s="499">
        <v>5896</v>
      </c>
      <c r="D13" s="499">
        <v>6068</v>
      </c>
      <c r="E13" s="29">
        <v>6</v>
      </c>
      <c r="F13" s="660">
        <f t="shared" si="0"/>
        <v>6074</v>
      </c>
    </row>
    <row r="14" spans="1:6" s="7" customFormat="1" ht="12" customHeight="1">
      <c r="A14" s="187"/>
      <c r="B14" s="445" t="s">
        <v>213</v>
      </c>
      <c r="C14" s="499">
        <v>1780</v>
      </c>
      <c r="D14" s="499">
        <v>1780</v>
      </c>
      <c r="E14" s="29">
        <v>0</v>
      </c>
      <c r="F14" s="660">
        <f t="shared" si="0"/>
        <v>1780</v>
      </c>
    </row>
    <row r="15" spans="1:6" s="7" customFormat="1" ht="12" customHeight="1">
      <c r="A15" s="187"/>
      <c r="B15" s="445" t="s">
        <v>374</v>
      </c>
      <c r="C15" s="499">
        <v>350</v>
      </c>
      <c r="D15" s="499">
        <v>350</v>
      </c>
      <c r="E15" s="29">
        <v>0</v>
      </c>
      <c r="F15" s="660">
        <f t="shared" si="0"/>
        <v>350</v>
      </c>
    </row>
    <row r="16" spans="1:6" s="7" customFormat="1" ht="12" customHeight="1">
      <c r="A16" s="187" t="s">
        <v>249</v>
      </c>
      <c r="B16" s="448" t="s">
        <v>62</v>
      </c>
      <c r="C16" s="499">
        <v>79538</v>
      </c>
      <c r="D16" s="499">
        <v>87352</v>
      </c>
      <c r="E16" s="29">
        <v>-1666</v>
      </c>
      <c r="F16" s="660">
        <f t="shared" si="0"/>
        <v>85686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2470</v>
      </c>
      <c r="F17" s="769">
        <f aca="true" t="shared" si="1" ref="F17:F25">SUM(D17:E17)</f>
        <v>2470</v>
      </c>
    </row>
    <row r="18" spans="1:6" s="7" customFormat="1" ht="12" customHeight="1">
      <c r="A18" s="755"/>
      <c r="B18" s="731" t="s">
        <v>471</v>
      </c>
      <c r="C18" s="501">
        <v>0</v>
      </c>
      <c r="D18" s="501">
        <v>0</v>
      </c>
      <c r="E18" s="471">
        <v>2470</v>
      </c>
      <c r="F18" s="663">
        <f t="shared" si="1"/>
        <v>2470</v>
      </c>
    </row>
    <row r="19" spans="1:6" s="7" customFormat="1" ht="12" customHeight="1">
      <c r="A19" s="756"/>
      <c r="B19" s="770" t="s">
        <v>639</v>
      </c>
      <c r="C19" s="502">
        <v>0</v>
      </c>
      <c r="D19" s="502">
        <v>0</v>
      </c>
      <c r="E19" s="474">
        <v>2470</v>
      </c>
      <c r="F19" s="664">
        <f>SUM(D19:E19)</f>
        <v>2470</v>
      </c>
    </row>
    <row r="20" spans="1:6" s="7" customFormat="1" ht="24" customHeight="1">
      <c r="A20" s="756"/>
      <c r="B20" s="732" t="s">
        <v>472</v>
      </c>
      <c r="C20" s="502">
        <v>0</v>
      </c>
      <c r="D20" s="502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499">
        <v>0</v>
      </c>
      <c r="D21" s="49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346867</v>
      </c>
      <c r="D22" s="500">
        <f>SUM(D10,D11,D16,D17,D21)</f>
        <v>363622</v>
      </c>
      <c r="E22" s="500">
        <f>SUM(E10,E11,E16,E17,E21)</f>
        <v>1068</v>
      </c>
      <c r="F22" s="661">
        <f t="shared" si="1"/>
        <v>364690</v>
      </c>
    </row>
    <row r="23" spans="1:6" s="7" customFormat="1" ht="12" customHeight="1">
      <c r="A23" s="187" t="s">
        <v>97</v>
      </c>
      <c r="B23" s="448" t="s">
        <v>214</v>
      </c>
      <c r="C23" s="499">
        <v>0</v>
      </c>
      <c r="D23" s="499">
        <v>11350</v>
      </c>
      <c r="E23" s="29">
        <v>865</v>
      </c>
      <c r="F23" s="660">
        <f t="shared" si="1"/>
        <v>12215</v>
      </c>
    </row>
    <row r="24" spans="1:6" s="7" customFormat="1" ht="12" customHeight="1">
      <c r="A24" s="187" t="s">
        <v>98</v>
      </c>
      <c r="B24" s="448" t="s">
        <v>217</v>
      </c>
      <c r="C24" s="499">
        <v>0</v>
      </c>
      <c r="D24" s="499">
        <v>992</v>
      </c>
      <c r="E24" s="29">
        <v>0</v>
      </c>
      <c r="F24" s="660">
        <f t="shared" si="1"/>
        <v>992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0</v>
      </c>
      <c r="F25" s="668">
        <f t="shared" si="1"/>
        <v>0</v>
      </c>
    </row>
    <row r="26" spans="1:6" s="7" customFormat="1" ht="12" customHeight="1" hidden="1">
      <c r="A26" s="755"/>
      <c r="B26" s="759"/>
      <c r="C26" s="768"/>
      <c r="D26" s="768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501">
        <v>0</v>
      </c>
      <c r="D27" s="501">
        <v>0</v>
      </c>
      <c r="E27" s="471">
        <v>0</v>
      </c>
      <c r="F27" s="663">
        <f>SUM(D27:E27)</f>
        <v>0</v>
      </c>
    </row>
    <row r="28" spans="1:6" s="57" customFormat="1" ht="12" customHeight="1">
      <c r="A28" s="472"/>
      <c r="B28" s="770" t="s">
        <v>639</v>
      </c>
      <c r="C28" s="502"/>
      <c r="D28" s="502"/>
      <c r="E28" s="474"/>
      <c r="F28" s="664"/>
    </row>
    <row r="29" spans="1:6" s="57" customFormat="1" ht="24" customHeight="1">
      <c r="A29" s="472"/>
      <c r="B29" s="732" t="s">
        <v>475</v>
      </c>
      <c r="C29" s="502">
        <v>0</v>
      </c>
      <c r="D29" s="502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0</v>
      </c>
      <c r="D30" s="498">
        <f>SUM(D23,D24,D25)</f>
        <v>12342</v>
      </c>
      <c r="E30" s="498">
        <f>SUM(E23,E24,E25)</f>
        <v>865</v>
      </c>
      <c r="F30" s="661">
        <f>SUM(D30:E30)</f>
        <v>13207</v>
      </c>
    </row>
    <row r="31" spans="1:6" s="455" customFormat="1" ht="13.5" customHeight="1">
      <c r="A31" s="453"/>
      <c r="B31" s="454" t="s">
        <v>120</v>
      </c>
      <c r="C31" s="456">
        <f>SUM(C22,C23:C25)</f>
        <v>346867</v>
      </c>
      <c r="D31" s="456">
        <f>SUM(D22,D23:D25)</f>
        <v>375964</v>
      </c>
      <c r="E31" s="456">
        <f>SUM(E22,E23:E25)</f>
        <v>1933</v>
      </c>
      <c r="F31" s="662">
        <f>SUM(D31:E31)</f>
        <v>377897</v>
      </c>
    </row>
    <row r="32" spans="1:6" s="33" customFormat="1" ht="12" customHeight="1">
      <c r="A32" s="159"/>
      <c r="B32" s="53" t="s">
        <v>378</v>
      </c>
      <c r="C32" s="465"/>
      <c r="D32" s="465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499">
        <v>0</v>
      </c>
      <c r="D33" s="49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501">
        <v>19086</v>
      </c>
      <c r="D34" s="712">
        <v>19086</v>
      </c>
      <c r="E34" s="669">
        <v>0</v>
      </c>
      <c r="F34" s="663">
        <f>SUM(D34:E34)</f>
        <v>19086</v>
      </c>
    </row>
    <row r="35" spans="1:6" s="33" customFormat="1" ht="12" customHeight="1">
      <c r="A35" s="472"/>
      <c r="B35" s="473" t="s">
        <v>458</v>
      </c>
      <c r="C35" s="502"/>
      <c r="D35" s="713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499">
        <v>271</v>
      </c>
      <c r="D36" s="499">
        <v>271</v>
      </c>
      <c r="E36" s="29">
        <v>0</v>
      </c>
      <c r="F36" s="664">
        <f aca="true" t="shared" si="2" ref="F36:F51">SUM(D36:E36)</f>
        <v>271</v>
      </c>
    </row>
    <row r="37" spans="1:6" s="33" customFormat="1" ht="12" customHeight="1">
      <c r="A37" s="150" t="s">
        <v>95</v>
      </c>
      <c r="B37" s="35" t="s">
        <v>421</v>
      </c>
      <c r="C37" s="499">
        <v>2483</v>
      </c>
      <c r="D37" s="499">
        <v>2483</v>
      </c>
      <c r="E37" s="29">
        <v>0</v>
      </c>
      <c r="F37" s="664">
        <f t="shared" si="2"/>
        <v>2483</v>
      </c>
    </row>
    <row r="38" spans="1:6" s="33" customFormat="1" ht="12" customHeight="1">
      <c r="A38" s="469" t="s">
        <v>96</v>
      </c>
      <c r="B38" s="760" t="s">
        <v>297</v>
      </c>
      <c r="C38" s="501">
        <v>21</v>
      </c>
      <c r="D38" s="501">
        <v>21</v>
      </c>
      <c r="E38" s="471">
        <v>0</v>
      </c>
      <c r="F38" s="771">
        <f t="shared" si="2"/>
        <v>21</v>
      </c>
    </row>
    <row r="39" spans="1:6" s="33" customFormat="1" ht="25.5" customHeight="1">
      <c r="A39" s="469" t="s">
        <v>97</v>
      </c>
      <c r="B39" s="762" t="s">
        <v>205</v>
      </c>
      <c r="C39" s="501">
        <v>0</v>
      </c>
      <c r="D39" s="501">
        <v>0</v>
      </c>
      <c r="E39" s="669">
        <v>0</v>
      </c>
      <c r="F39" s="663">
        <f t="shared" si="2"/>
        <v>0</v>
      </c>
    </row>
    <row r="40" spans="1:6" s="33" customFormat="1" ht="12" customHeight="1">
      <c r="A40" s="472"/>
      <c r="B40" s="772" t="s">
        <v>639</v>
      </c>
      <c r="C40" s="502">
        <v>0</v>
      </c>
      <c r="D40" s="502">
        <v>0</v>
      </c>
      <c r="E40" s="670">
        <v>0</v>
      </c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4">
        <v>0</v>
      </c>
      <c r="D41" s="774">
        <v>0</v>
      </c>
      <c r="E41" s="773">
        <v>0</v>
      </c>
      <c r="F41" s="771">
        <f t="shared" si="2"/>
        <v>0</v>
      </c>
    </row>
    <row r="42" spans="1:6" s="33" customFormat="1" ht="12" customHeight="1">
      <c r="A42" s="931" t="s">
        <v>99</v>
      </c>
      <c r="B42" s="762" t="s">
        <v>207</v>
      </c>
      <c r="C42" s="501">
        <v>0</v>
      </c>
      <c r="D42" s="50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502">
        <v>0</v>
      </c>
      <c r="D43" s="502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502">
        <v>0</v>
      </c>
      <c r="D44" s="502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499">
        <v>0</v>
      </c>
      <c r="D45" s="49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499">
        <v>0</v>
      </c>
      <c r="D46" s="499">
        <v>9640</v>
      </c>
      <c r="E46" s="29">
        <v>0</v>
      </c>
      <c r="F46" s="660">
        <f t="shared" si="2"/>
        <v>9640</v>
      </c>
    </row>
    <row r="47" spans="1:6" s="531" customFormat="1" ht="12" customHeight="1">
      <c r="A47" s="529"/>
      <c r="B47" s="530" t="s">
        <v>133</v>
      </c>
      <c r="C47" s="498">
        <f>SUM(C33:C46)-C35-C40-C43</f>
        <v>21861</v>
      </c>
      <c r="D47" s="498">
        <f>SUM(D33:D46)-D35-D40-D43</f>
        <v>31501</v>
      </c>
      <c r="E47" s="498">
        <f>SUM(E33:E46)-E35-E40-E43</f>
        <v>0</v>
      </c>
      <c r="F47" s="661">
        <f t="shared" si="2"/>
        <v>31501</v>
      </c>
    </row>
    <row r="48" spans="1:6" s="533" customFormat="1" ht="13.5">
      <c r="A48" s="534" t="s">
        <v>103</v>
      </c>
      <c r="B48" s="530" t="s">
        <v>423</v>
      </c>
      <c r="C48" s="498">
        <v>325006</v>
      </c>
      <c r="D48" s="498">
        <v>344463</v>
      </c>
      <c r="E48" s="498">
        <v>1933</v>
      </c>
      <c r="F48" s="665">
        <f t="shared" si="2"/>
        <v>346396</v>
      </c>
    </row>
    <row r="49" spans="1:6" s="420" customFormat="1" ht="12" customHeight="1">
      <c r="A49" s="373"/>
      <c r="B49" s="446" t="s">
        <v>211</v>
      </c>
      <c r="C49" s="450">
        <v>176975</v>
      </c>
      <c r="D49" s="545">
        <v>176975</v>
      </c>
      <c r="E49" s="450">
        <v>164</v>
      </c>
      <c r="F49" s="660">
        <f t="shared" si="2"/>
        <v>177139</v>
      </c>
    </row>
    <row r="50" spans="1:6" s="420" customFormat="1" ht="10.5" customHeight="1">
      <c r="A50" s="373"/>
      <c r="B50" s="543" t="s">
        <v>462</v>
      </c>
      <c r="C50" s="450">
        <v>0</v>
      </c>
      <c r="D50" s="545">
        <v>0</v>
      </c>
      <c r="E50" s="450">
        <v>696</v>
      </c>
      <c r="F50" s="660">
        <f t="shared" si="2"/>
        <v>696</v>
      </c>
    </row>
    <row r="51" spans="1:6" s="420" customFormat="1" ht="12" customHeight="1">
      <c r="A51" s="418"/>
      <c r="B51" s="451" t="s">
        <v>113</v>
      </c>
      <c r="C51" s="419">
        <f>SUM(C47:C48)</f>
        <v>346867</v>
      </c>
      <c r="D51" s="419">
        <f>SUM(D47:D48)</f>
        <v>375964</v>
      </c>
      <c r="E51" s="419">
        <f>SUM(E47:E48)</f>
        <v>1933</v>
      </c>
      <c r="F51" s="662">
        <f t="shared" si="2"/>
        <v>377897</v>
      </c>
    </row>
    <row r="52" spans="5:7" ht="15.75">
      <c r="E52" s="546"/>
      <c r="F52" s="507"/>
      <c r="G52" s="8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CE,Normál"3/d.számú melléklet                
       </oddHeader>
    <oddFooter>&amp;L&amp;"Times New Roman CE,Normál"&amp;8&amp;F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1:F52"/>
  <sheetViews>
    <sheetView workbookViewId="0" topLeftCell="A1">
      <selection activeCell="F6" sqref="F6"/>
    </sheetView>
  </sheetViews>
  <sheetFormatPr defaultColWidth="9.140625" defaultRowHeight="12.75"/>
  <cols>
    <col min="1" max="1" width="4.00390625" style="8" customWidth="1"/>
    <col min="2" max="2" width="38.57421875" style="10" customWidth="1"/>
    <col min="3" max="3" width="10.421875" style="9" customWidth="1"/>
    <col min="4" max="4" width="11.28125" style="9" customWidth="1"/>
    <col min="5" max="5" width="10.28125" style="540" customWidth="1"/>
    <col min="6" max="6" width="11.8515625" style="3" customWidth="1"/>
    <col min="7" max="16384" width="8.8515625" style="3" customWidth="1"/>
  </cols>
  <sheetData>
    <row r="1" spans="1:6" ht="15.75" customHeight="1">
      <c r="A1" s="933" t="s">
        <v>130</v>
      </c>
      <c r="B1" s="936"/>
      <c r="C1" s="936"/>
      <c r="D1" s="936"/>
      <c r="E1" s="936"/>
      <c r="F1" s="936"/>
    </row>
    <row r="2" spans="1:6" ht="19.5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125</v>
      </c>
      <c r="B4" s="936"/>
      <c r="C4" s="936"/>
      <c r="D4" s="936"/>
      <c r="E4" s="936"/>
      <c r="F4" s="936"/>
    </row>
    <row r="5" spans="2:6" ht="11.2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44">
        <v>59</v>
      </c>
      <c r="D8" s="544">
        <v>59</v>
      </c>
      <c r="E8" s="535">
        <v>-1</v>
      </c>
      <c r="F8" s="689">
        <f>SUM(D8:E8)</f>
        <v>58</v>
      </c>
    </row>
    <row r="9" spans="1:6" s="33" customFormat="1" ht="12" customHeight="1">
      <c r="A9" s="159"/>
      <c r="B9" s="64" t="s">
        <v>59</v>
      </c>
      <c r="C9" s="498"/>
      <c r="D9" s="498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499">
        <v>139529</v>
      </c>
      <c r="D10" s="499">
        <v>147483</v>
      </c>
      <c r="E10" s="29">
        <v>200</v>
      </c>
      <c r="F10" s="660">
        <f>SUM(D10:E10)</f>
        <v>147683</v>
      </c>
    </row>
    <row r="11" spans="1:6" s="7" customFormat="1" ht="12" customHeight="1">
      <c r="A11" s="187" t="s">
        <v>248</v>
      </c>
      <c r="B11" s="449" t="s">
        <v>61</v>
      </c>
      <c r="C11" s="499">
        <f>SUM(C12:C15)</f>
        <v>44694</v>
      </c>
      <c r="D11" s="499">
        <f>SUM(D12:D15)</f>
        <v>46849</v>
      </c>
      <c r="E11" s="29">
        <f>SUM(E12:E15)</f>
        <v>64</v>
      </c>
      <c r="F11" s="660">
        <f aca="true" t="shared" si="0" ref="F11:F16">SUM(D11:E11)</f>
        <v>46913</v>
      </c>
    </row>
    <row r="12" spans="1:6" s="7" customFormat="1" ht="12" customHeight="1">
      <c r="A12" s="187"/>
      <c r="B12" s="445" t="s">
        <v>375</v>
      </c>
      <c r="C12" s="499">
        <v>39060</v>
      </c>
      <c r="D12" s="499">
        <v>41020</v>
      </c>
      <c r="E12" s="29">
        <v>58</v>
      </c>
      <c r="F12" s="660">
        <f t="shared" si="0"/>
        <v>41078</v>
      </c>
    </row>
    <row r="13" spans="1:6" s="7" customFormat="1" ht="12" customHeight="1">
      <c r="A13" s="187"/>
      <c r="B13" s="445" t="s">
        <v>212</v>
      </c>
      <c r="C13" s="499">
        <v>4041</v>
      </c>
      <c r="D13" s="499">
        <v>4236</v>
      </c>
      <c r="E13" s="29">
        <v>6</v>
      </c>
      <c r="F13" s="660">
        <f t="shared" si="0"/>
        <v>4242</v>
      </c>
    </row>
    <row r="14" spans="1:6" s="7" customFormat="1" ht="12" customHeight="1">
      <c r="A14" s="187"/>
      <c r="B14" s="445" t="s">
        <v>213</v>
      </c>
      <c r="C14" s="499">
        <v>1308</v>
      </c>
      <c r="D14" s="499">
        <v>1308</v>
      </c>
      <c r="E14" s="29">
        <v>0</v>
      </c>
      <c r="F14" s="660">
        <f t="shared" si="0"/>
        <v>1308</v>
      </c>
    </row>
    <row r="15" spans="1:6" s="7" customFormat="1" ht="12" customHeight="1">
      <c r="A15" s="187"/>
      <c r="B15" s="445" t="s">
        <v>374</v>
      </c>
      <c r="C15" s="499">
        <v>285</v>
      </c>
      <c r="D15" s="499">
        <v>285</v>
      </c>
      <c r="E15" s="29">
        <v>0</v>
      </c>
      <c r="F15" s="660">
        <f t="shared" si="0"/>
        <v>285</v>
      </c>
    </row>
    <row r="16" spans="1:6" s="7" customFormat="1" ht="12" customHeight="1">
      <c r="A16" s="187" t="s">
        <v>249</v>
      </c>
      <c r="B16" s="448" t="s">
        <v>62</v>
      </c>
      <c r="C16" s="499">
        <v>42732</v>
      </c>
      <c r="D16" s="499">
        <v>53755</v>
      </c>
      <c r="E16" s="29">
        <v>-4276</v>
      </c>
      <c r="F16" s="660">
        <f t="shared" si="0"/>
        <v>49479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5765</v>
      </c>
      <c r="F17" s="769">
        <f aca="true" t="shared" si="1" ref="F17:F25">SUM(D17:E17)</f>
        <v>5765</v>
      </c>
    </row>
    <row r="18" spans="1:6" s="7" customFormat="1" ht="12" customHeight="1">
      <c r="A18" s="755"/>
      <c r="B18" s="731" t="s">
        <v>471</v>
      </c>
      <c r="C18" s="501">
        <v>0</v>
      </c>
      <c r="D18" s="501">
        <v>0</v>
      </c>
      <c r="E18" s="471">
        <v>5765</v>
      </c>
      <c r="F18" s="663">
        <f t="shared" si="1"/>
        <v>5765</v>
      </c>
    </row>
    <row r="19" spans="1:6" s="7" customFormat="1" ht="12" customHeight="1">
      <c r="A19" s="756"/>
      <c r="B19" s="770" t="s">
        <v>639</v>
      </c>
      <c r="C19" s="502">
        <v>0</v>
      </c>
      <c r="D19" s="502">
        <v>0</v>
      </c>
      <c r="E19" s="474">
        <v>5765</v>
      </c>
      <c r="F19" s="664">
        <f>SUM(D19:E19)</f>
        <v>5765</v>
      </c>
    </row>
    <row r="20" spans="1:6" s="7" customFormat="1" ht="24" customHeight="1">
      <c r="A20" s="756"/>
      <c r="B20" s="732" t="s">
        <v>472</v>
      </c>
      <c r="C20" s="502">
        <v>0</v>
      </c>
      <c r="D20" s="502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499">
        <v>0</v>
      </c>
      <c r="D21" s="49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226955</v>
      </c>
      <c r="D22" s="500">
        <f>SUM(D10,D11,D16,D17,D21)</f>
        <v>248087</v>
      </c>
      <c r="E22" s="500">
        <f>SUM(E10,E11,E16,E17,E21)</f>
        <v>1753</v>
      </c>
      <c r="F22" s="661">
        <f t="shared" si="1"/>
        <v>249840</v>
      </c>
    </row>
    <row r="23" spans="1:6" s="7" customFormat="1" ht="12" customHeight="1">
      <c r="A23" s="187" t="s">
        <v>97</v>
      </c>
      <c r="B23" s="448" t="s">
        <v>214</v>
      </c>
      <c r="C23" s="499">
        <v>0</v>
      </c>
      <c r="D23" s="499">
        <v>28800</v>
      </c>
      <c r="E23" s="29">
        <v>2990</v>
      </c>
      <c r="F23" s="660">
        <f t="shared" si="1"/>
        <v>31790</v>
      </c>
    </row>
    <row r="24" spans="1:6" s="7" customFormat="1" ht="12" customHeight="1">
      <c r="A24" s="187" t="s">
        <v>98</v>
      </c>
      <c r="B24" s="448" t="s">
        <v>217</v>
      </c>
      <c r="C24" s="499">
        <v>0</v>
      </c>
      <c r="D24" s="499">
        <v>0</v>
      </c>
      <c r="E24" s="29">
        <v>0</v>
      </c>
      <c r="F24" s="660">
        <f t="shared" si="1"/>
        <v>0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0</v>
      </c>
      <c r="F25" s="668">
        <f t="shared" si="1"/>
        <v>0</v>
      </c>
    </row>
    <row r="26" spans="1:6" s="7" customFormat="1" ht="12" customHeight="1" hidden="1">
      <c r="A26" s="755"/>
      <c r="B26" s="759"/>
      <c r="C26" s="768"/>
      <c r="D26" s="768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501">
        <v>0</v>
      </c>
      <c r="D27" s="501">
        <v>0</v>
      </c>
      <c r="E27" s="471">
        <v>0</v>
      </c>
      <c r="F27" s="663">
        <f>SUM(D27:E27)</f>
        <v>0</v>
      </c>
    </row>
    <row r="28" spans="1:6" s="57" customFormat="1" ht="12" customHeight="1">
      <c r="A28" s="472"/>
      <c r="B28" s="770" t="s">
        <v>639</v>
      </c>
      <c r="C28" s="502">
        <v>0</v>
      </c>
      <c r="D28" s="502">
        <v>0</v>
      </c>
      <c r="E28" s="474">
        <v>0</v>
      </c>
      <c r="F28" s="664">
        <f>SUM(D28:E28)</f>
        <v>0</v>
      </c>
    </row>
    <row r="29" spans="1:6" s="57" customFormat="1" ht="24" customHeight="1">
      <c r="A29" s="472"/>
      <c r="B29" s="732" t="s">
        <v>475</v>
      </c>
      <c r="C29" s="502">
        <v>0</v>
      </c>
      <c r="D29" s="502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0</v>
      </c>
      <c r="D30" s="498">
        <f>SUM(D23,D24,D25)</f>
        <v>28800</v>
      </c>
      <c r="E30" s="498">
        <f>SUM(E23,E24,E25)</f>
        <v>2990</v>
      </c>
      <c r="F30" s="661">
        <f>SUM(D30:E30)</f>
        <v>31790</v>
      </c>
    </row>
    <row r="31" spans="1:6" s="455" customFormat="1" ht="13.5" customHeight="1">
      <c r="A31" s="453"/>
      <c r="B31" s="454" t="s">
        <v>120</v>
      </c>
      <c r="C31" s="456">
        <f>SUM(C22,C23:C25)</f>
        <v>226955</v>
      </c>
      <c r="D31" s="456">
        <f>SUM(D22,D23:D25)</f>
        <v>276887</v>
      </c>
      <c r="E31" s="456">
        <f>SUM(E22,E23:E25)</f>
        <v>4743</v>
      </c>
      <c r="F31" s="662">
        <f>SUM(D31:E31)</f>
        <v>281630</v>
      </c>
    </row>
    <row r="32" spans="1:6" s="33" customFormat="1" ht="12" customHeight="1">
      <c r="A32" s="159"/>
      <c r="B32" s="53" t="s">
        <v>378</v>
      </c>
      <c r="C32" s="465"/>
      <c r="D32" s="465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499">
        <v>0</v>
      </c>
      <c r="D33" s="49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501">
        <v>9453</v>
      </c>
      <c r="D34" s="712">
        <v>9453</v>
      </c>
      <c r="E34" s="669">
        <v>0</v>
      </c>
      <c r="F34" s="663">
        <f>SUM(D34:E34)</f>
        <v>9453</v>
      </c>
    </row>
    <row r="35" spans="1:6" s="33" customFormat="1" ht="12" customHeight="1">
      <c r="A35" s="472"/>
      <c r="B35" s="473" t="s">
        <v>458</v>
      </c>
      <c r="C35" s="502"/>
      <c r="D35" s="713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499">
        <v>0</v>
      </c>
      <c r="D36" s="499">
        <v>0</v>
      </c>
      <c r="E36" s="29">
        <v>0</v>
      </c>
      <c r="F36" s="664">
        <f aca="true" t="shared" si="2" ref="F36:F51">SUM(D36:E36)</f>
        <v>0</v>
      </c>
    </row>
    <row r="37" spans="1:6" s="33" customFormat="1" ht="12" customHeight="1">
      <c r="A37" s="150" t="s">
        <v>95</v>
      </c>
      <c r="B37" s="35" t="s">
        <v>421</v>
      </c>
      <c r="C37" s="499">
        <v>1257</v>
      </c>
      <c r="D37" s="499">
        <v>1257</v>
      </c>
      <c r="E37" s="29">
        <v>0</v>
      </c>
      <c r="F37" s="664">
        <f t="shared" si="2"/>
        <v>1257</v>
      </c>
    </row>
    <row r="38" spans="1:6" s="33" customFormat="1" ht="12" customHeight="1">
      <c r="A38" s="469" t="s">
        <v>96</v>
      </c>
      <c r="B38" s="760" t="s">
        <v>297</v>
      </c>
      <c r="C38" s="501">
        <v>3</v>
      </c>
      <c r="D38" s="501">
        <v>3</v>
      </c>
      <c r="E38" s="471">
        <v>0</v>
      </c>
      <c r="F38" s="771">
        <f t="shared" si="2"/>
        <v>3</v>
      </c>
    </row>
    <row r="39" spans="1:6" s="33" customFormat="1" ht="25.5" customHeight="1">
      <c r="A39" s="469" t="s">
        <v>97</v>
      </c>
      <c r="B39" s="762" t="s">
        <v>205</v>
      </c>
      <c r="C39" s="501">
        <v>0</v>
      </c>
      <c r="D39" s="501">
        <v>0</v>
      </c>
      <c r="E39" s="669">
        <v>373</v>
      </c>
      <c r="F39" s="663">
        <f t="shared" si="2"/>
        <v>373</v>
      </c>
    </row>
    <row r="40" spans="1:6" s="33" customFormat="1" ht="12" customHeight="1">
      <c r="A40" s="472"/>
      <c r="B40" s="772" t="s">
        <v>639</v>
      </c>
      <c r="C40" s="502">
        <v>0</v>
      </c>
      <c r="D40" s="502">
        <v>0</v>
      </c>
      <c r="E40" s="670"/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4">
        <v>251</v>
      </c>
      <c r="D41" s="774">
        <v>251</v>
      </c>
      <c r="E41" s="773">
        <v>350</v>
      </c>
      <c r="F41" s="771">
        <f t="shared" si="2"/>
        <v>601</v>
      </c>
    </row>
    <row r="42" spans="1:6" s="33" customFormat="1" ht="12" customHeight="1">
      <c r="A42" s="931" t="s">
        <v>99</v>
      </c>
      <c r="B42" s="762" t="s">
        <v>207</v>
      </c>
      <c r="C42" s="501">
        <v>0</v>
      </c>
      <c r="D42" s="50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502">
        <v>0</v>
      </c>
      <c r="D43" s="502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502">
        <v>0</v>
      </c>
      <c r="D44" s="502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499">
        <v>0</v>
      </c>
      <c r="D45" s="49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499">
        <v>0</v>
      </c>
      <c r="D46" s="499">
        <v>16531</v>
      </c>
      <c r="E46" s="29">
        <v>0</v>
      </c>
      <c r="F46" s="660">
        <f t="shared" si="2"/>
        <v>16531</v>
      </c>
    </row>
    <row r="47" spans="1:6" s="531" customFormat="1" ht="12" customHeight="1">
      <c r="A47" s="529"/>
      <c r="B47" s="530" t="s">
        <v>133</v>
      </c>
      <c r="C47" s="498">
        <f>SUM(C33:C46)-C35-C40-C43</f>
        <v>10964</v>
      </c>
      <c r="D47" s="498">
        <f>SUM(D33:D46)-D35-D40-D43</f>
        <v>27495</v>
      </c>
      <c r="E47" s="498">
        <f>SUM(E33:E46)-E35-E40-E43</f>
        <v>723</v>
      </c>
      <c r="F47" s="661">
        <f t="shared" si="2"/>
        <v>28218</v>
      </c>
    </row>
    <row r="48" spans="1:6" s="533" customFormat="1" ht="13.5">
      <c r="A48" s="534" t="s">
        <v>103</v>
      </c>
      <c r="B48" s="530" t="s">
        <v>423</v>
      </c>
      <c r="C48" s="498">
        <v>215991</v>
      </c>
      <c r="D48" s="498">
        <v>249392</v>
      </c>
      <c r="E48" s="498">
        <v>4020</v>
      </c>
      <c r="F48" s="665">
        <f t="shared" si="2"/>
        <v>253412</v>
      </c>
    </row>
    <row r="49" spans="1:6" s="420" customFormat="1" ht="12" customHeight="1">
      <c r="A49" s="373"/>
      <c r="B49" s="446" t="s">
        <v>211</v>
      </c>
      <c r="C49" s="450">
        <v>104982</v>
      </c>
      <c r="D49" s="545">
        <v>104982</v>
      </c>
      <c r="E49" s="450">
        <v>-177</v>
      </c>
      <c r="F49" s="660">
        <f t="shared" si="2"/>
        <v>104805</v>
      </c>
    </row>
    <row r="50" spans="1:6" s="420" customFormat="1" ht="12" customHeight="1">
      <c r="A50" s="373"/>
      <c r="B50" s="543" t="s">
        <v>462</v>
      </c>
      <c r="C50" s="450">
        <v>0</v>
      </c>
      <c r="D50" s="545">
        <v>0</v>
      </c>
      <c r="E50" s="450">
        <v>445</v>
      </c>
      <c r="F50" s="660">
        <f t="shared" si="2"/>
        <v>445</v>
      </c>
    </row>
    <row r="51" spans="1:6" s="420" customFormat="1" ht="13.5" customHeight="1">
      <c r="A51" s="418"/>
      <c r="B51" s="451" t="s">
        <v>113</v>
      </c>
      <c r="C51" s="419">
        <f>SUM(C47:C48)</f>
        <v>226955</v>
      </c>
      <c r="D51" s="419">
        <f>SUM(D47:D48)</f>
        <v>276887</v>
      </c>
      <c r="E51" s="419">
        <f>SUM(E47:E48)</f>
        <v>4743</v>
      </c>
      <c r="F51" s="662">
        <f t="shared" si="2"/>
        <v>281630</v>
      </c>
    </row>
    <row r="52" spans="5:6" ht="15.75">
      <c r="E52" s="546"/>
      <c r="F52" s="507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CE,Normál"3/e.számú melléklet                
       </oddHeader>
    <oddFooter>&amp;L&amp;"Times New Roman CE,Normál"&amp;8&amp;F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/>
  <dimension ref="A1:F52"/>
  <sheetViews>
    <sheetView workbookViewId="0" topLeftCell="A1">
      <selection activeCell="F6" sqref="F6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10.421875" style="9" customWidth="1"/>
    <col min="4" max="4" width="11.00390625" style="9" customWidth="1"/>
    <col min="5" max="5" width="10.28125" style="540" customWidth="1"/>
    <col min="6" max="6" width="11.140625" style="3" customWidth="1"/>
    <col min="7" max="16384" width="8.8515625" style="3" customWidth="1"/>
  </cols>
  <sheetData>
    <row r="1" spans="1:6" ht="15" customHeight="1">
      <c r="A1" s="933" t="s">
        <v>130</v>
      </c>
      <c r="B1" s="936"/>
      <c r="C1" s="936"/>
      <c r="D1" s="936"/>
      <c r="E1" s="936"/>
      <c r="F1" s="936"/>
    </row>
    <row r="2" spans="1:6" ht="19.5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271</v>
      </c>
      <c r="B4" s="936"/>
      <c r="C4" s="936"/>
      <c r="D4" s="936"/>
      <c r="E4" s="936"/>
      <c r="F4" s="936"/>
    </row>
    <row r="5" spans="2:6" ht="12.7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44">
        <v>52.5</v>
      </c>
      <c r="D8" s="544">
        <v>52.5</v>
      </c>
      <c r="E8" s="535">
        <v>-1</v>
      </c>
      <c r="F8" s="689">
        <f>SUM(D8:E8)</f>
        <v>51.5</v>
      </c>
    </row>
    <row r="9" spans="1:6" s="33" customFormat="1" ht="12" customHeight="1">
      <c r="A9" s="159"/>
      <c r="B9" s="64" t="s">
        <v>59</v>
      </c>
      <c r="C9" s="498"/>
      <c r="D9" s="498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499">
        <v>124062</v>
      </c>
      <c r="D10" s="499">
        <v>130417</v>
      </c>
      <c r="E10" s="29">
        <v>100</v>
      </c>
      <c r="F10" s="660">
        <f>SUM(D10:E10)</f>
        <v>130517</v>
      </c>
    </row>
    <row r="11" spans="1:6" s="7" customFormat="1" ht="12" customHeight="1">
      <c r="A11" s="187" t="s">
        <v>248</v>
      </c>
      <c r="B11" s="449" t="s">
        <v>61</v>
      </c>
      <c r="C11" s="499">
        <f>SUM(C12:C15)</f>
        <v>39967</v>
      </c>
      <c r="D11" s="499">
        <f>SUM(D12:D15)</f>
        <v>41780</v>
      </c>
      <c r="E11" s="29">
        <f>SUM(E12:E15)</f>
        <v>32</v>
      </c>
      <c r="F11" s="660">
        <f aca="true" t="shared" si="0" ref="F11:F16">SUM(D11:E11)</f>
        <v>41812</v>
      </c>
    </row>
    <row r="12" spans="1:6" s="7" customFormat="1" ht="12" customHeight="1">
      <c r="A12" s="187"/>
      <c r="B12" s="445" t="s">
        <v>375</v>
      </c>
      <c r="C12" s="499">
        <v>34986</v>
      </c>
      <c r="D12" s="499">
        <v>36630</v>
      </c>
      <c r="E12" s="29">
        <v>29</v>
      </c>
      <c r="F12" s="660">
        <f t="shared" si="0"/>
        <v>36659</v>
      </c>
    </row>
    <row r="13" spans="1:6" s="7" customFormat="1" ht="12" customHeight="1">
      <c r="A13" s="187"/>
      <c r="B13" s="445" t="s">
        <v>212</v>
      </c>
      <c r="C13" s="499">
        <v>3619</v>
      </c>
      <c r="D13" s="499">
        <v>3788</v>
      </c>
      <c r="E13" s="29">
        <v>3</v>
      </c>
      <c r="F13" s="660">
        <f t="shared" si="0"/>
        <v>3791</v>
      </c>
    </row>
    <row r="14" spans="1:6" s="7" customFormat="1" ht="12" customHeight="1">
      <c r="A14" s="187"/>
      <c r="B14" s="445" t="s">
        <v>213</v>
      </c>
      <c r="C14" s="499">
        <v>1072</v>
      </c>
      <c r="D14" s="499">
        <v>1072</v>
      </c>
      <c r="E14" s="29">
        <v>0</v>
      </c>
      <c r="F14" s="660">
        <f t="shared" si="0"/>
        <v>1072</v>
      </c>
    </row>
    <row r="15" spans="1:6" s="7" customFormat="1" ht="12" customHeight="1">
      <c r="A15" s="187"/>
      <c r="B15" s="445" t="s">
        <v>374</v>
      </c>
      <c r="C15" s="499">
        <v>290</v>
      </c>
      <c r="D15" s="499">
        <v>290</v>
      </c>
      <c r="E15" s="29">
        <v>0</v>
      </c>
      <c r="F15" s="660">
        <f t="shared" si="0"/>
        <v>290</v>
      </c>
    </row>
    <row r="16" spans="1:6" s="7" customFormat="1" ht="12" customHeight="1">
      <c r="A16" s="187" t="s">
        <v>249</v>
      </c>
      <c r="B16" s="448" t="s">
        <v>62</v>
      </c>
      <c r="C16" s="499">
        <v>31497</v>
      </c>
      <c r="D16" s="499">
        <v>36755</v>
      </c>
      <c r="E16" s="29">
        <v>-3181</v>
      </c>
      <c r="F16" s="660">
        <f t="shared" si="0"/>
        <v>33574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3540</v>
      </c>
      <c r="F17" s="769">
        <f aca="true" t="shared" si="1" ref="F17:F25">SUM(D17:E17)</f>
        <v>3540</v>
      </c>
    </row>
    <row r="18" spans="1:6" s="7" customFormat="1" ht="12" customHeight="1">
      <c r="A18" s="755"/>
      <c r="B18" s="731" t="s">
        <v>471</v>
      </c>
      <c r="C18" s="501">
        <v>0</v>
      </c>
      <c r="D18" s="501">
        <v>0</v>
      </c>
      <c r="E18" s="471">
        <v>3540</v>
      </c>
      <c r="F18" s="663">
        <f t="shared" si="1"/>
        <v>3540</v>
      </c>
    </row>
    <row r="19" spans="1:6" s="7" customFormat="1" ht="12" customHeight="1">
      <c r="A19" s="756"/>
      <c r="B19" s="770" t="s">
        <v>639</v>
      </c>
      <c r="C19" s="502">
        <v>0</v>
      </c>
      <c r="D19" s="502">
        <v>0</v>
      </c>
      <c r="E19" s="474">
        <v>3540</v>
      </c>
      <c r="F19" s="664">
        <f>SUM(D19:E19)</f>
        <v>3540</v>
      </c>
    </row>
    <row r="20" spans="1:6" s="7" customFormat="1" ht="24" customHeight="1">
      <c r="A20" s="756"/>
      <c r="B20" s="732" t="s">
        <v>472</v>
      </c>
      <c r="C20" s="502">
        <v>0</v>
      </c>
      <c r="D20" s="502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499">
        <v>0</v>
      </c>
      <c r="D21" s="49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195526</v>
      </c>
      <c r="D22" s="500">
        <f>SUM(D10,D11,D16,D17,D21)</f>
        <v>208952</v>
      </c>
      <c r="E22" s="500">
        <f>SUM(E10,E11,E16,E17,E21)</f>
        <v>491</v>
      </c>
      <c r="F22" s="661">
        <f t="shared" si="1"/>
        <v>209443</v>
      </c>
    </row>
    <row r="23" spans="1:6" s="7" customFormat="1" ht="12" customHeight="1">
      <c r="A23" s="187" t="s">
        <v>97</v>
      </c>
      <c r="B23" s="448" t="s">
        <v>214</v>
      </c>
      <c r="C23" s="499">
        <v>0</v>
      </c>
      <c r="D23" s="499">
        <v>16800</v>
      </c>
      <c r="E23" s="29">
        <v>0</v>
      </c>
      <c r="F23" s="660">
        <f t="shared" si="1"/>
        <v>16800</v>
      </c>
    </row>
    <row r="24" spans="1:6" s="7" customFormat="1" ht="12" customHeight="1">
      <c r="A24" s="187" t="s">
        <v>98</v>
      </c>
      <c r="B24" s="448" t="s">
        <v>217</v>
      </c>
      <c r="C24" s="499">
        <v>0</v>
      </c>
      <c r="D24" s="499">
        <v>1405</v>
      </c>
      <c r="E24" s="29">
        <v>0</v>
      </c>
      <c r="F24" s="660">
        <f t="shared" si="1"/>
        <v>1405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1</v>
      </c>
      <c r="F25" s="668">
        <f t="shared" si="1"/>
        <v>1</v>
      </c>
    </row>
    <row r="26" spans="1:6" s="7" customFormat="1" ht="12" customHeight="1" hidden="1">
      <c r="A26" s="755"/>
      <c r="B26" s="759"/>
      <c r="C26" s="768"/>
      <c r="D26" s="768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501">
        <v>0</v>
      </c>
      <c r="D27" s="501">
        <v>0</v>
      </c>
      <c r="E27" s="471">
        <v>1</v>
      </c>
      <c r="F27" s="663">
        <f>SUM(D27:E27)</f>
        <v>1</v>
      </c>
    </row>
    <row r="28" spans="1:6" s="57" customFormat="1" ht="12" customHeight="1">
      <c r="A28" s="472"/>
      <c r="B28" s="770" t="s">
        <v>639</v>
      </c>
      <c r="C28" s="502">
        <v>0</v>
      </c>
      <c r="D28" s="502">
        <v>0</v>
      </c>
      <c r="E28" s="474">
        <v>1</v>
      </c>
      <c r="F28" s="664">
        <f>SUM(D28:E28)</f>
        <v>1</v>
      </c>
    </row>
    <row r="29" spans="1:6" s="57" customFormat="1" ht="24" customHeight="1">
      <c r="A29" s="472"/>
      <c r="B29" s="732" t="s">
        <v>475</v>
      </c>
      <c r="C29" s="502">
        <v>0</v>
      </c>
      <c r="D29" s="502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0</v>
      </c>
      <c r="D30" s="498">
        <f>SUM(D23,D24,D25)</f>
        <v>18205</v>
      </c>
      <c r="E30" s="498">
        <f>SUM(E23,E24,E25)</f>
        <v>1</v>
      </c>
      <c r="F30" s="661">
        <f>SUM(D30:E30)</f>
        <v>18206</v>
      </c>
    </row>
    <row r="31" spans="1:6" s="455" customFormat="1" ht="13.5" customHeight="1">
      <c r="A31" s="453"/>
      <c r="B31" s="454" t="s">
        <v>120</v>
      </c>
      <c r="C31" s="456">
        <f>SUM(C22,C23:C25)</f>
        <v>195526</v>
      </c>
      <c r="D31" s="456">
        <f>SUM(D22,D23:D25)</f>
        <v>227157</v>
      </c>
      <c r="E31" s="456">
        <f>SUM(E22,E23:E25)</f>
        <v>492</v>
      </c>
      <c r="F31" s="662">
        <f>SUM(D31:E31)</f>
        <v>227649</v>
      </c>
    </row>
    <row r="32" spans="1:6" s="33" customFormat="1" ht="12" customHeight="1">
      <c r="A32" s="159"/>
      <c r="B32" s="53" t="s">
        <v>378</v>
      </c>
      <c r="C32" s="465"/>
      <c r="D32" s="465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499">
        <v>0</v>
      </c>
      <c r="D33" s="49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501">
        <v>6109</v>
      </c>
      <c r="D34" s="712">
        <v>6109</v>
      </c>
      <c r="E34" s="669">
        <v>0</v>
      </c>
      <c r="F34" s="663">
        <f>SUM(D34:E34)</f>
        <v>6109</v>
      </c>
    </row>
    <row r="35" spans="1:6" s="33" customFormat="1" ht="12" customHeight="1">
      <c r="A35" s="472"/>
      <c r="B35" s="473" t="s">
        <v>458</v>
      </c>
      <c r="C35" s="502"/>
      <c r="D35" s="713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499">
        <v>0</v>
      </c>
      <c r="D36" s="499">
        <v>0</v>
      </c>
      <c r="E36" s="29">
        <v>0</v>
      </c>
      <c r="F36" s="664">
        <f aca="true" t="shared" si="2" ref="F36:F51">SUM(D36:E36)</f>
        <v>0</v>
      </c>
    </row>
    <row r="37" spans="1:6" s="33" customFormat="1" ht="12" customHeight="1">
      <c r="A37" s="150" t="s">
        <v>95</v>
      </c>
      <c r="B37" s="35" t="s">
        <v>421</v>
      </c>
      <c r="C37" s="499">
        <v>812</v>
      </c>
      <c r="D37" s="499">
        <v>812</v>
      </c>
      <c r="E37" s="29">
        <v>0</v>
      </c>
      <c r="F37" s="664">
        <f t="shared" si="2"/>
        <v>812</v>
      </c>
    </row>
    <row r="38" spans="1:6" s="33" customFormat="1" ht="12" customHeight="1">
      <c r="A38" s="469" t="s">
        <v>96</v>
      </c>
      <c r="B38" s="760" t="s">
        <v>297</v>
      </c>
      <c r="C38" s="501">
        <v>0</v>
      </c>
      <c r="D38" s="501">
        <v>0</v>
      </c>
      <c r="E38" s="471">
        <v>0</v>
      </c>
      <c r="F38" s="771">
        <f t="shared" si="2"/>
        <v>0</v>
      </c>
    </row>
    <row r="39" spans="1:6" s="33" customFormat="1" ht="25.5" customHeight="1">
      <c r="A39" s="469" t="s">
        <v>97</v>
      </c>
      <c r="B39" s="762" t="s">
        <v>205</v>
      </c>
      <c r="C39" s="501">
        <v>0</v>
      </c>
      <c r="D39" s="501">
        <v>0</v>
      </c>
      <c r="E39" s="669">
        <v>0</v>
      </c>
      <c r="F39" s="663">
        <f t="shared" si="2"/>
        <v>0</v>
      </c>
    </row>
    <row r="40" spans="1:6" s="33" customFormat="1" ht="12" customHeight="1">
      <c r="A40" s="472"/>
      <c r="B40" s="772" t="s">
        <v>639</v>
      </c>
      <c r="C40" s="502">
        <v>0</v>
      </c>
      <c r="D40" s="502">
        <v>0</v>
      </c>
      <c r="E40" s="670">
        <v>0</v>
      </c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4">
        <v>0</v>
      </c>
      <c r="D41" s="774">
        <v>0</v>
      </c>
      <c r="E41" s="773">
        <v>0</v>
      </c>
      <c r="F41" s="771">
        <f t="shared" si="2"/>
        <v>0</v>
      </c>
    </row>
    <row r="42" spans="1:6" s="33" customFormat="1" ht="12" customHeight="1">
      <c r="A42" s="931" t="s">
        <v>99</v>
      </c>
      <c r="B42" s="762" t="s">
        <v>207</v>
      </c>
      <c r="C42" s="501">
        <v>0</v>
      </c>
      <c r="D42" s="50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502">
        <v>0</v>
      </c>
      <c r="D43" s="502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502">
        <v>0</v>
      </c>
      <c r="D44" s="502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499">
        <v>0</v>
      </c>
      <c r="D45" s="49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499">
        <v>0</v>
      </c>
      <c r="D46" s="499">
        <v>9299</v>
      </c>
      <c r="E46" s="29">
        <v>0</v>
      </c>
      <c r="F46" s="660">
        <f t="shared" si="2"/>
        <v>9299</v>
      </c>
    </row>
    <row r="47" spans="1:6" s="531" customFormat="1" ht="12" customHeight="1">
      <c r="A47" s="529"/>
      <c r="B47" s="530" t="s">
        <v>133</v>
      </c>
      <c r="C47" s="498">
        <f>SUM(C33:C46)-C35-C40-C43</f>
        <v>6921</v>
      </c>
      <c r="D47" s="498">
        <f>SUM(D33:D46)-D35-D40-D43</f>
        <v>16220</v>
      </c>
      <c r="E47" s="498">
        <f>SUM(E33:E46)-E35-E40-E43</f>
        <v>0</v>
      </c>
      <c r="F47" s="661">
        <f t="shared" si="2"/>
        <v>16220</v>
      </c>
    </row>
    <row r="48" spans="1:6" s="533" customFormat="1" ht="13.5">
      <c r="A48" s="534" t="s">
        <v>103</v>
      </c>
      <c r="B48" s="530" t="s">
        <v>423</v>
      </c>
      <c r="C48" s="498">
        <v>188605</v>
      </c>
      <c r="D48" s="498">
        <v>210937</v>
      </c>
      <c r="E48" s="498">
        <v>492</v>
      </c>
      <c r="F48" s="665">
        <f t="shared" si="2"/>
        <v>211429</v>
      </c>
    </row>
    <row r="49" spans="1:6" s="420" customFormat="1" ht="12" customHeight="1">
      <c r="A49" s="373"/>
      <c r="B49" s="446" t="s">
        <v>211</v>
      </c>
      <c r="C49" s="450">
        <v>75278</v>
      </c>
      <c r="D49" s="545">
        <v>75278</v>
      </c>
      <c r="E49" s="450">
        <v>574</v>
      </c>
      <c r="F49" s="660">
        <f t="shared" si="2"/>
        <v>75852</v>
      </c>
    </row>
    <row r="50" spans="1:6" s="420" customFormat="1" ht="12" customHeight="1">
      <c r="A50" s="373"/>
      <c r="B50" s="543" t="s">
        <v>462</v>
      </c>
      <c r="C50" s="450">
        <v>0</v>
      </c>
      <c r="D50" s="545">
        <v>0</v>
      </c>
      <c r="E50" s="450">
        <v>339</v>
      </c>
      <c r="F50" s="660">
        <f t="shared" si="2"/>
        <v>339</v>
      </c>
    </row>
    <row r="51" spans="1:6" s="420" customFormat="1" ht="13.5" customHeight="1">
      <c r="A51" s="418"/>
      <c r="B51" s="451" t="s">
        <v>113</v>
      </c>
      <c r="C51" s="419">
        <f>SUM(C47:C48)</f>
        <v>195526</v>
      </c>
      <c r="D51" s="419">
        <f>SUM(D47:D48)</f>
        <v>227157</v>
      </c>
      <c r="E51" s="419">
        <f>SUM(E47:E48)</f>
        <v>492</v>
      </c>
      <c r="F51" s="662">
        <f t="shared" si="2"/>
        <v>227649</v>
      </c>
    </row>
    <row r="52" spans="5:6" ht="15.75">
      <c r="E52" s="546"/>
      <c r="F52" s="507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CE,Normál"3/f.számú melléklet                
       </oddHeader>
    <oddFooter>&amp;L&amp;"Times New Roman CE,Normál"&amp;8&amp;F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F6" sqref="F6"/>
    </sheetView>
  </sheetViews>
  <sheetFormatPr defaultColWidth="9.140625" defaultRowHeight="12.75"/>
  <cols>
    <col min="1" max="1" width="3.8515625" style="8" customWidth="1"/>
    <col min="2" max="2" width="38.57421875" style="10" customWidth="1"/>
    <col min="3" max="3" width="10.8515625" style="9" customWidth="1"/>
    <col min="4" max="4" width="11.421875" style="9" customWidth="1"/>
    <col min="5" max="5" width="10.28125" style="540" customWidth="1"/>
    <col min="6" max="6" width="11.28125" style="3" customWidth="1"/>
    <col min="7" max="16384" width="8.8515625" style="3" customWidth="1"/>
  </cols>
  <sheetData>
    <row r="1" spans="1:6" ht="15.75" customHeight="1">
      <c r="A1" s="933" t="s">
        <v>130</v>
      </c>
      <c r="B1" s="936"/>
      <c r="C1" s="936"/>
      <c r="D1" s="936"/>
      <c r="E1" s="936"/>
      <c r="F1" s="936"/>
    </row>
    <row r="2" spans="1:6" ht="19.5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272</v>
      </c>
      <c r="B4" s="936"/>
      <c r="C4" s="936"/>
      <c r="D4" s="936"/>
      <c r="E4" s="936"/>
      <c r="F4" s="936"/>
    </row>
    <row r="5" spans="2:6" ht="12.7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44">
        <v>13</v>
      </c>
      <c r="D8" s="544">
        <v>13</v>
      </c>
      <c r="E8" s="535">
        <v>0</v>
      </c>
      <c r="F8" s="689">
        <f>SUM(D8:E8)</f>
        <v>13</v>
      </c>
    </row>
    <row r="9" spans="1:6" s="33" customFormat="1" ht="12" customHeight="1">
      <c r="A9" s="159"/>
      <c r="B9" s="64" t="s">
        <v>59</v>
      </c>
      <c r="C9" s="498"/>
      <c r="D9" s="498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499">
        <v>23272</v>
      </c>
      <c r="D10" s="499">
        <v>25384</v>
      </c>
      <c r="E10" s="29">
        <v>0</v>
      </c>
      <c r="F10" s="660">
        <f>SUM(D10:E10)</f>
        <v>25384</v>
      </c>
    </row>
    <row r="11" spans="1:6" s="7" customFormat="1" ht="12" customHeight="1">
      <c r="A11" s="187" t="s">
        <v>248</v>
      </c>
      <c r="B11" s="449" t="s">
        <v>61</v>
      </c>
      <c r="C11" s="499">
        <f>SUM(C12:C15)</f>
        <v>7432</v>
      </c>
      <c r="D11" s="499">
        <f>SUM(D12:D15)</f>
        <v>8023</v>
      </c>
      <c r="E11" s="29">
        <f>SUM(E12:E15)</f>
        <v>0</v>
      </c>
      <c r="F11" s="660">
        <f aca="true" t="shared" si="0" ref="F11:F16">SUM(D11:E11)</f>
        <v>8023</v>
      </c>
    </row>
    <row r="12" spans="1:6" s="7" customFormat="1" ht="12" customHeight="1">
      <c r="A12" s="187"/>
      <c r="B12" s="445" t="s">
        <v>375</v>
      </c>
      <c r="C12" s="499">
        <v>6470</v>
      </c>
      <c r="D12" s="499">
        <v>7000</v>
      </c>
      <c r="E12" s="29">
        <v>0</v>
      </c>
      <c r="F12" s="660">
        <f t="shared" si="0"/>
        <v>7000</v>
      </c>
    </row>
    <row r="13" spans="1:6" s="7" customFormat="1" ht="12" customHeight="1">
      <c r="A13" s="187"/>
      <c r="B13" s="445" t="s">
        <v>212</v>
      </c>
      <c r="C13" s="499">
        <v>653</v>
      </c>
      <c r="D13" s="499">
        <v>708</v>
      </c>
      <c r="E13" s="29">
        <v>0</v>
      </c>
      <c r="F13" s="660">
        <f t="shared" si="0"/>
        <v>708</v>
      </c>
    </row>
    <row r="14" spans="1:6" s="7" customFormat="1" ht="12" customHeight="1">
      <c r="A14" s="187"/>
      <c r="B14" s="445" t="s">
        <v>213</v>
      </c>
      <c r="C14" s="499">
        <v>279</v>
      </c>
      <c r="D14" s="499">
        <v>285</v>
      </c>
      <c r="E14" s="29">
        <v>0</v>
      </c>
      <c r="F14" s="660">
        <f t="shared" si="0"/>
        <v>285</v>
      </c>
    </row>
    <row r="15" spans="1:6" s="7" customFormat="1" ht="12" customHeight="1">
      <c r="A15" s="187"/>
      <c r="B15" s="445" t="s">
        <v>374</v>
      </c>
      <c r="C15" s="499">
        <v>30</v>
      </c>
      <c r="D15" s="499">
        <v>30</v>
      </c>
      <c r="E15" s="29">
        <v>0</v>
      </c>
      <c r="F15" s="660">
        <f t="shared" si="0"/>
        <v>30</v>
      </c>
    </row>
    <row r="16" spans="1:6" s="7" customFormat="1" ht="12" customHeight="1">
      <c r="A16" s="187" t="s">
        <v>249</v>
      </c>
      <c r="B16" s="448" t="s">
        <v>62</v>
      </c>
      <c r="C16" s="499">
        <v>10577</v>
      </c>
      <c r="D16" s="499">
        <v>12175</v>
      </c>
      <c r="E16" s="29">
        <v>49</v>
      </c>
      <c r="F16" s="660">
        <f t="shared" si="0"/>
        <v>12224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523</v>
      </c>
      <c r="F17" s="769">
        <f aca="true" t="shared" si="1" ref="F17:F25">SUM(D17:E17)</f>
        <v>523</v>
      </c>
    </row>
    <row r="18" spans="1:6" s="7" customFormat="1" ht="12" customHeight="1">
      <c r="A18" s="755"/>
      <c r="B18" s="731" t="s">
        <v>471</v>
      </c>
      <c r="C18" s="501">
        <v>0</v>
      </c>
      <c r="D18" s="501">
        <v>0</v>
      </c>
      <c r="E18" s="471">
        <v>523</v>
      </c>
      <c r="F18" s="663">
        <f t="shared" si="1"/>
        <v>523</v>
      </c>
    </row>
    <row r="19" spans="1:6" s="7" customFormat="1" ht="12" customHeight="1">
      <c r="A19" s="756"/>
      <c r="B19" s="770" t="s">
        <v>639</v>
      </c>
      <c r="C19" s="502">
        <v>0</v>
      </c>
      <c r="D19" s="502">
        <v>0</v>
      </c>
      <c r="E19" s="474">
        <v>523</v>
      </c>
      <c r="F19" s="664">
        <f>SUM(D19:E19)</f>
        <v>523</v>
      </c>
    </row>
    <row r="20" spans="1:6" s="7" customFormat="1" ht="24" customHeight="1">
      <c r="A20" s="756"/>
      <c r="B20" s="732" t="s">
        <v>472</v>
      </c>
      <c r="C20" s="502">
        <v>0</v>
      </c>
      <c r="D20" s="502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499">
        <v>0</v>
      </c>
      <c r="D21" s="49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41281</v>
      </c>
      <c r="D22" s="500">
        <f>SUM(D10,D11,D16,D17,D21)</f>
        <v>45582</v>
      </c>
      <c r="E22" s="500">
        <f>SUM(E10,E11,E16,E17,E21)</f>
        <v>572</v>
      </c>
      <c r="F22" s="661">
        <f t="shared" si="1"/>
        <v>46154</v>
      </c>
    </row>
    <row r="23" spans="1:6" s="7" customFormat="1" ht="12" customHeight="1">
      <c r="A23" s="187" t="s">
        <v>97</v>
      </c>
      <c r="B23" s="448" t="s">
        <v>214</v>
      </c>
      <c r="C23" s="499">
        <v>0</v>
      </c>
      <c r="D23" s="499">
        <v>6144</v>
      </c>
      <c r="E23" s="29">
        <v>0</v>
      </c>
      <c r="F23" s="660">
        <f t="shared" si="1"/>
        <v>6144</v>
      </c>
    </row>
    <row r="24" spans="1:6" s="7" customFormat="1" ht="12" customHeight="1">
      <c r="A24" s="187" t="s">
        <v>98</v>
      </c>
      <c r="B24" s="448" t="s">
        <v>217</v>
      </c>
      <c r="C24" s="499">
        <v>0</v>
      </c>
      <c r="D24" s="499">
        <v>0</v>
      </c>
      <c r="E24" s="29">
        <v>2172</v>
      </c>
      <c r="F24" s="660">
        <f t="shared" si="1"/>
        <v>2172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400</v>
      </c>
      <c r="F25" s="668">
        <f t="shared" si="1"/>
        <v>400</v>
      </c>
    </row>
    <row r="26" spans="1:6" s="7" customFormat="1" ht="12" customHeight="1" hidden="1">
      <c r="A26" s="755"/>
      <c r="B26" s="759"/>
      <c r="C26" s="768"/>
      <c r="D26" s="768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501">
        <v>0</v>
      </c>
      <c r="D27" s="501">
        <v>0</v>
      </c>
      <c r="E27" s="471">
        <v>400</v>
      </c>
      <c r="F27" s="663">
        <f>SUM(D27:E27)</f>
        <v>400</v>
      </c>
    </row>
    <row r="28" spans="1:6" s="57" customFormat="1" ht="12" customHeight="1">
      <c r="A28" s="472"/>
      <c r="B28" s="770" t="s">
        <v>639</v>
      </c>
      <c r="C28" s="502">
        <v>0</v>
      </c>
      <c r="D28" s="502">
        <v>0</v>
      </c>
      <c r="E28" s="474">
        <v>400</v>
      </c>
      <c r="F28" s="664">
        <f>SUM(D28:E28)</f>
        <v>400</v>
      </c>
    </row>
    <row r="29" spans="1:6" s="57" customFormat="1" ht="24" customHeight="1">
      <c r="A29" s="472"/>
      <c r="B29" s="732" t="s">
        <v>475</v>
      </c>
      <c r="C29" s="502">
        <v>0</v>
      </c>
      <c r="D29" s="502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0</v>
      </c>
      <c r="D30" s="498">
        <f>SUM(D23,D24,D25)</f>
        <v>6144</v>
      </c>
      <c r="E30" s="498">
        <f>SUM(E23,E24,E25)</f>
        <v>2572</v>
      </c>
      <c r="F30" s="661">
        <f>SUM(D30:E30)</f>
        <v>8716</v>
      </c>
    </row>
    <row r="31" spans="1:6" s="455" customFormat="1" ht="13.5" customHeight="1">
      <c r="A31" s="453"/>
      <c r="B31" s="454" t="s">
        <v>120</v>
      </c>
      <c r="C31" s="456">
        <f>SUM(C22,C23:C25)</f>
        <v>41281</v>
      </c>
      <c r="D31" s="456">
        <f>SUM(D22,D23:D25)</f>
        <v>51726</v>
      </c>
      <c r="E31" s="456">
        <f>SUM(E22,E23:E25)</f>
        <v>3144</v>
      </c>
      <c r="F31" s="662">
        <f>SUM(D31:E31)</f>
        <v>54870</v>
      </c>
    </row>
    <row r="32" spans="1:6" s="33" customFormat="1" ht="12" customHeight="1">
      <c r="A32" s="159"/>
      <c r="B32" s="53" t="s">
        <v>378</v>
      </c>
      <c r="C32" s="465"/>
      <c r="D32" s="465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499">
        <v>0</v>
      </c>
      <c r="D33" s="49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501">
        <v>9498</v>
      </c>
      <c r="D34" s="712">
        <v>9498</v>
      </c>
      <c r="E34" s="669">
        <v>0</v>
      </c>
      <c r="F34" s="663">
        <f>SUM(D34:E34)</f>
        <v>9498</v>
      </c>
    </row>
    <row r="35" spans="1:6" s="33" customFormat="1" ht="12" customHeight="1">
      <c r="A35" s="472"/>
      <c r="B35" s="473" t="s">
        <v>458</v>
      </c>
      <c r="C35" s="502"/>
      <c r="D35" s="713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499">
        <v>0</v>
      </c>
      <c r="D36" s="499">
        <v>0</v>
      </c>
      <c r="E36" s="29">
        <v>0</v>
      </c>
      <c r="F36" s="664">
        <f aca="true" t="shared" si="2" ref="F36:F51">SUM(D36:E36)</f>
        <v>0</v>
      </c>
    </row>
    <row r="37" spans="1:6" s="33" customFormat="1" ht="12" customHeight="1">
      <c r="A37" s="150" t="s">
        <v>95</v>
      </c>
      <c r="B37" s="35" t="s">
        <v>421</v>
      </c>
      <c r="C37" s="499">
        <v>0</v>
      </c>
      <c r="D37" s="499">
        <v>0</v>
      </c>
      <c r="E37" s="29">
        <v>0</v>
      </c>
      <c r="F37" s="664">
        <f t="shared" si="2"/>
        <v>0</v>
      </c>
    </row>
    <row r="38" spans="1:6" s="33" customFormat="1" ht="12" customHeight="1">
      <c r="A38" s="469" t="s">
        <v>96</v>
      </c>
      <c r="B38" s="760" t="s">
        <v>297</v>
      </c>
      <c r="C38" s="501">
        <v>2</v>
      </c>
      <c r="D38" s="501">
        <v>2</v>
      </c>
      <c r="E38" s="471">
        <v>0</v>
      </c>
      <c r="F38" s="771">
        <f t="shared" si="2"/>
        <v>2</v>
      </c>
    </row>
    <row r="39" spans="1:6" s="33" customFormat="1" ht="25.5" customHeight="1">
      <c r="A39" s="469" t="s">
        <v>97</v>
      </c>
      <c r="B39" s="762" t="s">
        <v>205</v>
      </c>
      <c r="C39" s="501">
        <v>0</v>
      </c>
      <c r="D39" s="501">
        <v>0</v>
      </c>
      <c r="E39" s="669">
        <v>0</v>
      </c>
      <c r="F39" s="663">
        <f t="shared" si="2"/>
        <v>0</v>
      </c>
    </row>
    <row r="40" spans="1:6" s="33" customFormat="1" ht="12" customHeight="1">
      <c r="A40" s="472"/>
      <c r="B40" s="772" t="s">
        <v>639</v>
      </c>
      <c r="C40" s="502">
        <v>0</v>
      </c>
      <c r="D40" s="502">
        <v>0</v>
      </c>
      <c r="E40" s="670">
        <v>0</v>
      </c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4">
        <v>0</v>
      </c>
      <c r="D41" s="774">
        <v>0</v>
      </c>
      <c r="E41" s="773">
        <v>0</v>
      </c>
      <c r="F41" s="771">
        <f t="shared" si="2"/>
        <v>0</v>
      </c>
    </row>
    <row r="42" spans="1:6" s="33" customFormat="1" ht="12" customHeight="1">
      <c r="A42" s="931" t="s">
        <v>99</v>
      </c>
      <c r="B42" s="762" t="s">
        <v>207</v>
      </c>
      <c r="C42" s="501">
        <v>0</v>
      </c>
      <c r="D42" s="50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502">
        <v>0</v>
      </c>
      <c r="D43" s="502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502">
        <v>0</v>
      </c>
      <c r="D44" s="502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499">
        <v>0</v>
      </c>
      <c r="D45" s="49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499">
        <v>0</v>
      </c>
      <c r="D46" s="499">
        <v>3649</v>
      </c>
      <c r="E46" s="29">
        <v>0</v>
      </c>
      <c r="F46" s="660">
        <f t="shared" si="2"/>
        <v>3649</v>
      </c>
    </row>
    <row r="47" spans="1:6" s="531" customFormat="1" ht="12" customHeight="1">
      <c r="A47" s="529"/>
      <c r="B47" s="530" t="s">
        <v>133</v>
      </c>
      <c r="C47" s="498">
        <f>SUM(C33:C46)-C35-C40-C43</f>
        <v>9500</v>
      </c>
      <c r="D47" s="498">
        <f>SUM(D33:D46)-D35-D40-D43</f>
        <v>13149</v>
      </c>
      <c r="E47" s="498">
        <f>SUM(E33:E46)-E35-E40-E43</f>
        <v>0</v>
      </c>
      <c r="F47" s="661">
        <f t="shared" si="2"/>
        <v>13149</v>
      </c>
    </row>
    <row r="48" spans="1:6" s="533" customFormat="1" ht="13.5">
      <c r="A48" s="534" t="s">
        <v>103</v>
      </c>
      <c r="B48" s="530" t="s">
        <v>423</v>
      </c>
      <c r="C48" s="498">
        <v>31781</v>
      </c>
      <c r="D48" s="498">
        <v>38577</v>
      </c>
      <c r="E48" s="498">
        <v>3144</v>
      </c>
      <c r="F48" s="665">
        <f t="shared" si="2"/>
        <v>41721</v>
      </c>
    </row>
    <row r="49" spans="1:6" s="420" customFormat="1" ht="12.75" customHeight="1">
      <c r="A49" s="373"/>
      <c r="B49" s="446" t="s">
        <v>211</v>
      </c>
      <c r="C49" s="450">
        <v>20119</v>
      </c>
      <c r="D49" s="545">
        <v>20119</v>
      </c>
      <c r="E49" s="450">
        <v>0</v>
      </c>
      <c r="F49" s="660">
        <f t="shared" si="2"/>
        <v>20119</v>
      </c>
    </row>
    <row r="50" spans="1:6" s="420" customFormat="1" ht="12.75" customHeight="1">
      <c r="A50" s="373"/>
      <c r="B50" s="543" t="s">
        <v>462</v>
      </c>
      <c r="C50" s="450">
        <v>0</v>
      </c>
      <c r="D50" s="545">
        <v>0</v>
      </c>
      <c r="E50" s="450">
        <v>0</v>
      </c>
      <c r="F50" s="660">
        <f t="shared" si="2"/>
        <v>0</v>
      </c>
    </row>
    <row r="51" spans="1:6" s="420" customFormat="1" ht="13.5" customHeight="1">
      <c r="A51" s="418"/>
      <c r="B51" s="451" t="s">
        <v>113</v>
      </c>
      <c r="C51" s="419">
        <f>SUM(C47:C48)</f>
        <v>41281</v>
      </c>
      <c r="D51" s="419">
        <f>SUM(D47:D48)</f>
        <v>51726</v>
      </c>
      <c r="E51" s="419">
        <f>SUM(E47:E48)</f>
        <v>3144</v>
      </c>
      <c r="F51" s="662">
        <f t="shared" si="2"/>
        <v>54870</v>
      </c>
    </row>
    <row r="52" spans="5:7" ht="15.75">
      <c r="E52" s="546"/>
      <c r="F52" s="507"/>
      <c r="G52" s="8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CE,Normál"3/g.számú melléklet                
       </oddHeader>
    <oddFooter>&amp;L&amp;"Times New Roman CE,Normál"&amp;8&amp;F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F6" sqref="F6"/>
    </sheetView>
  </sheetViews>
  <sheetFormatPr defaultColWidth="9.140625" defaultRowHeight="12.75"/>
  <cols>
    <col min="1" max="1" width="4.28125" style="8" customWidth="1"/>
    <col min="2" max="2" width="38.57421875" style="10" customWidth="1"/>
    <col min="3" max="3" width="10.57421875" style="9" customWidth="1"/>
    <col min="4" max="4" width="11.28125" style="9" customWidth="1"/>
    <col min="5" max="5" width="10.28125" style="540" customWidth="1"/>
    <col min="6" max="6" width="11.57421875" style="3" customWidth="1"/>
    <col min="7" max="16384" width="8.8515625" style="3" customWidth="1"/>
  </cols>
  <sheetData>
    <row r="1" spans="1:6" ht="15.75" customHeight="1">
      <c r="A1" s="933" t="s">
        <v>130</v>
      </c>
      <c r="B1" s="936"/>
      <c r="C1" s="936"/>
      <c r="D1" s="936"/>
      <c r="E1" s="936"/>
      <c r="F1" s="936"/>
    </row>
    <row r="2" spans="1:6" ht="21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127</v>
      </c>
      <c r="B4" s="936"/>
      <c r="C4" s="936"/>
      <c r="D4" s="936"/>
      <c r="E4" s="936"/>
      <c r="F4" s="936"/>
    </row>
    <row r="5" spans="2:6" ht="12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44">
        <v>13</v>
      </c>
      <c r="D8" s="544">
        <v>13</v>
      </c>
      <c r="E8" s="535">
        <v>0</v>
      </c>
      <c r="F8" s="689">
        <f>SUM(D8:E8)</f>
        <v>13</v>
      </c>
    </row>
    <row r="9" spans="1:6" s="33" customFormat="1" ht="12" customHeight="1">
      <c r="A9" s="159"/>
      <c r="B9" s="64" t="s">
        <v>59</v>
      </c>
      <c r="C9" s="498"/>
      <c r="D9" s="498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499">
        <v>24840</v>
      </c>
      <c r="D10" s="499">
        <v>27037</v>
      </c>
      <c r="E10" s="29">
        <v>0</v>
      </c>
      <c r="F10" s="660">
        <f>SUM(D10:E10)</f>
        <v>27037</v>
      </c>
    </row>
    <row r="11" spans="1:6" s="7" customFormat="1" ht="12" customHeight="1">
      <c r="A11" s="187" t="s">
        <v>248</v>
      </c>
      <c r="B11" s="449" t="s">
        <v>61</v>
      </c>
      <c r="C11" s="499">
        <f>SUM(C12:C15)</f>
        <v>7805</v>
      </c>
      <c r="D11" s="499">
        <f>SUM(D12:D15)</f>
        <v>8446</v>
      </c>
      <c r="E11" s="29">
        <f>SUM(E12:E15)</f>
        <v>0</v>
      </c>
      <c r="F11" s="660">
        <f aca="true" t="shared" si="0" ref="F11:F16">SUM(D11:E11)</f>
        <v>8446</v>
      </c>
    </row>
    <row r="12" spans="1:6" s="7" customFormat="1" ht="12" customHeight="1">
      <c r="A12" s="187"/>
      <c r="B12" s="445" t="s">
        <v>375</v>
      </c>
      <c r="C12" s="499">
        <v>6817</v>
      </c>
      <c r="D12" s="499">
        <v>7399</v>
      </c>
      <c r="E12" s="29">
        <v>0</v>
      </c>
      <c r="F12" s="660">
        <f t="shared" si="0"/>
        <v>7399</v>
      </c>
    </row>
    <row r="13" spans="1:6" s="7" customFormat="1" ht="12" customHeight="1">
      <c r="A13" s="187"/>
      <c r="B13" s="445" t="s">
        <v>212</v>
      </c>
      <c r="C13" s="499">
        <v>679</v>
      </c>
      <c r="D13" s="499">
        <v>737</v>
      </c>
      <c r="E13" s="29">
        <v>0</v>
      </c>
      <c r="F13" s="660">
        <f t="shared" si="0"/>
        <v>737</v>
      </c>
    </row>
    <row r="14" spans="1:6" s="7" customFormat="1" ht="12" customHeight="1">
      <c r="A14" s="187"/>
      <c r="B14" s="445" t="s">
        <v>213</v>
      </c>
      <c r="C14" s="499">
        <v>279</v>
      </c>
      <c r="D14" s="499">
        <v>280</v>
      </c>
      <c r="E14" s="29">
        <v>0</v>
      </c>
      <c r="F14" s="660">
        <f t="shared" si="0"/>
        <v>280</v>
      </c>
    </row>
    <row r="15" spans="1:6" s="7" customFormat="1" ht="12" customHeight="1">
      <c r="A15" s="187"/>
      <c r="B15" s="445" t="s">
        <v>374</v>
      </c>
      <c r="C15" s="499">
        <v>30</v>
      </c>
      <c r="D15" s="499">
        <v>30</v>
      </c>
      <c r="E15" s="29">
        <v>0</v>
      </c>
      <c r="F15" s="660">
        <f t="shared" si="0"/>
        <v>30</v>
      </c>
    </row>
    <row r="16" spans="1:6" s="7" customFormat="1" ht="12" customHeight="1">
      <c r="A16" s="187" t="s">
        <v>249</v>
      </c>
      <c r="B16" s="448" t="s">
        <v>62</v>
      </c>
      <c r="C16" s="499">
        <v>24709</v>
      </c>
      <c r="D16" s="499">
        <v>27200</v>
      </c>
      <c r="E16" s="29">
        <v>-266</v>
      </c>
      <c r="F16" s="660">
        <f t="shared" si="0"/>
        <v>26934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309</v>
      </c>
      <c r="F17" s="769">
        <f aca="true" t="shared" si="1" ref="F17:F25">SUM(D17:E17)</f>
        <v>309</v>
      </c>
    </row>
    <row r="18" spans="1:6" s="7" customFormat="1" ht="12" customHeight="1">
      <c r="A18" s="755"/>
      <c r="B18" s="731" t="s">
        <v>471</v>
      </c>
      <c r="C18" s="501">
        <v>0</v>
      </c>
      <c r="D18" s="501">
        <v>0</v>
      </c>
      <c r="E18" s="471">
        <v>309</v>
      </c>
      <c r="F18" s="663">
        <f t="shared" si="1"/>
        <v>309</v>
      </c>
    </row>
    <row r="19" spans="1:6" s="7" customFormat="1" ht="12" customHeight="1">
      <c r="A19" s="756"/>
      <c r="B19" s="770" t="s">
        <v>639</v>
      </c>
      <c r="C19" s="502">
        <v>0</v>
      </c>
      <c r="D19" s="502">
        <v>0</v>
      </c>
      <c r="E19" s="474">
        <v>309</v>
      </c>
      <c r="F19" s="664">
        <f>SUM(D19:E19)</f>
        <v>309</v>
      </c>
    </row>
    <row r="20" spans="1:6" s="7" customFormat="1" ht="24" customHeight="1">
      <c r="A20" s="756"/>
      <c r="B20" s="732" t="s">
        <v>472</v>
      </c>
      <c r="C20" s="502">
        <v>0</v>
      </c>
      <c r="D20" s="502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499">
        <v>0</v>
      </c>
      <c r="D21" s="49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57354</v>
      </c>
      <c r="D22" s="500">
        <f>SUM(D10,D11,D16,D17,D21)</f>
        <v>62683</v>
      </c>
      <c r="E22" s="500">
        <f>SUM(E10,E11,E16,E17,E21)</f>
        <v>43</v>
      </c>
      <c r="F22" s="661">
        <f t="shared" si="1"/>
        <v>62726</v>
      </c>
    </row>
    <row r="23" spans="1:6" s="7" customFormat="1" ht="12" customHeight="1">
      <c r="A23" s="187" t="s">
        <v>97</v>
      </c>
      <c r="B23" s="448" t="s">
        <v>214</v>
      </c>
      <c r="C23" s="499">
        <v>0</v>
      </c>
      <c r="D23" s="499">
        <v>19440</v>
      </c>
      <c r="E23" s="29">
        <v>-15600</v>
      </c>
      <c r="F23" s="660">
        <f t="shared" si="1"/>
        <v>3840</v>
      </c>
    </row>
    <row r="24" spans="1:6" s="7" customFormat="1" ht="12" customHeight="1">
      <c r="A24" s="187" t="s">
        <v>98</v>
      </c>
      <c r="B24" s="448" t="s">
        <v>217</v>
      </c>
      <c r="C24" s="499">
        <v>0</v>
      </c>
      <c r="D24" s="499">
        <v>0</v>
      </c>
      <c r="E24" s="29">
        <v>1570</v>
      </c>
      <c r="F24" s="660">
        <f t="shared" si="1"/>
        <v>1570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57</v>
      </c>
      <c r="F25" s="668">
        <f t="shared" si="1"/>
        <v>57</v>
      </c>
    </row>
    <row r="26" spans="1:6" s="7" customFormat="1" ht="12" customHeight="1" hidden="1">
      <c r="A26" s="755"/>
      <c r="B26" s="759"/>
      <c r="C26" s="768"/>
      <c r="D26" s="768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501">
        <v>0</v>
      </c>
      <c r="D27" s="501">
        <v>0</v>
      </c>
      <c r="E27" s="471">
        <v>57</v>
      </c>
      <c r="F27" s="663">
        <f>SUM(D27:E27)</f>
        <v>57</v>
      </c>
    </row>
    <row r="28" spans="1:6" s="57" customFormat="1" ht="12" customHeight="1">
      <c r="A28" s="472"/>
      <c r="B28" s="770" t="s">
        <v>639</v>
      </c>
      <c r="C28" s="502">
        <v>0</v>
      </c>
      <c r="D28" s="502">
        <v>0</v>
      </c>
      <c r="E28" s="474">
        <v>57</v>
      </c>
      <c r="F28" s="664">
        <f>SUM(D28:E28)</f>
        <v>57</v>
      </c>
    </row>
    <row r="29" spans="1:6" s="57" customFormat="1" ht="24" customHeight="1">
      <c r="A29" s="472"/>
      <c r="B29" s="732" t="s">
        <v>475</v>
      </c>
      <c r="C29" s="502">
        <v>0</v>
      </c>
      <c r="D29" s="502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0</v>
      </c>
      <c r="D30" s="498">
        <f>SUM(D23,D24,D25)</f>
        <v>19440</v>
      </c>
      <c r="E30" s="498">
        <f>SUM(E23,E24,E25)</f>
        <v>-13973</v>
      </c>
      <c r="F30" s="661">
        <f>SUM(D30:E30)</f>
        <v>5467</v>
      </c>
    </row>
    <row r="31" spans="1:6" s="455" customFormat="1" ht="13.5" customHeight="1">
      <c r="A31" s="453"/>
      <c r="B31" s="454" t="s">
        <v>120</v>
      </c>
      <c r="C31" s="456">
        <f>SUM(C22,C23:C25)</f>
        <v>57354</v>
      </c>
      <c r="D31" s="456">
        <f>SUM(D22,D23:D25)</f>
        <v>82123</v>
      </c>
      <c r="E31" s="456">
        <f>SUM(E22,E23:E25)</f>
        <v>-13930</v>
      </c>
      <c r="F31" s="662">
        <f>SUM(D31:E31)</f>
        <v>68193</v>
      </c>
    </row>
    <row r="32" spans="1:6" s="33" customFormat="1" ht="12" customHeight="1">
      <c r="A32" s="159"/>
      <c r="B32" s="53" t="s">
        <v>378</v>
      </c>
      <c r="C32" s="465"/>
      <c r="D32" s="465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499">
        <v>0</v>
      </c>
      <c r="D33" s="49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501">
        <v>17095</v>
      </c>
      <c r="D34" s="712">
        <v>17095</v>
      </c>
      <c r="E34" s="669">
        <v>0</v>
      </c>
      <c r="F34" s="663">
        <f>SUM(D34:E34)</f>
        <v>17095</v>
      </c>
    </row>
    <row r="35" spans="1:6" s="33" customFormat="1" ht="12" customHeight="1">
      <c r="A35" s="472"/>
      <c r="B35" s="473" t="s">
        <v>458</v>
      </c>
      <c r="C35" s="502"/>
      <c r="D35" s="713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499">
        <v>155</v>
      </c>
      <c r="D36" s="499">
        <v>155</v>
      </c>
      <c r="E36" s="29">
        <v>0</v>
      </c>
      <c r="F36" s="664">
        <f aca="true" t="shared" si="2" ref="F36:F51">SUM(D36:E36)</f>
        <v>155</v>
      </c>
    </row>
    <row r="37" spans="1:6" s="33" customFormat="1" ht="12" customHeight="1">
      <c r="A37" s="150" t="s">
        <v>95</v>
      </c>
      <c r="B37" s="35" t="s">
        <v>421</v>
      </c>
      <c r="C37" s="499">
        <v>909</v>
      </c>
      <c r="D37" s="499">
        <v>909</v>
      </c>
      <c r="E37" s="29">
        <v>0</v>
      </c>
      <c r="F37" s="664">
        <f t="shared" si="2"/>
        <v>909</v>
      </c>
    </row>
    <row r="38" spans="1:6" s="33" customFormat="1" ht="12" customHeight="1">
      <c r="A38" s="469" t="s">
        <v>96</v>
      </c>
      <c r="B38" s="760" t="s">
        <v>297</v>
      </c>
      <c r="C38" s="501">
        <v>8</v>
      </c>
      <c r="D38" s="501">
        <v>8</v>
      </c>
      <c r="E38" s="471">
        <v>0</v>
      </c>
      <c r="F38" s="771">
        <f t="shared" si="2"/>
        <v>8</v>
      </c>
    </row>
    <row r="39" spans="1:6" s="33" customFormat="1" ht="25.5" customHeight="1">
      <c r="A39" s="469" t="s">
        <v>97</v>
      </c>
      <c r="B39" s="762" t="s">
        <v>205</v>
      </c>
      <c r="C39" s="501">
        <v>0</v>
      </c>
      <c r="D39" s="501">
        <v>0</v>
      </c>
      <c r="E39" s="669">
        <v>0</v>
      </c>
      <c r="F39" s="663">
        <f t="shared" si="2"/>
        <v>0</v>
      </c>
    </row>
    <row r="40" spans="1:6" s="33" customFormat="1" ht="12" customHeight="1">
      <c r="A40" s="472"/>
      <c r="B40" s="772" t="s">
        <v>639</v>
      </c>
      <c r="C40" s="502">
        <v>0</v>
      </c>
      <c r="D40" s="502">
        <v>0</v>
      </c>
      <c r="E40" s="670">
        <v>0</v>
      </c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4">
        <v>0</v>
      </c>
      <c r="D41" s="774">
        <v>0</v>
      </c>
      <c r="E41" s="773">
        <v>0</v>
      </c>
      <c r="F41" s="771">
        <f t="shared" si="2"/>
        <v>0</v>
      </c>
    </row>
    <row r="42" spans="1:6" s="33" customFormat="1" ht="12" customHeight="1">
      <c r="A42" s="931" t="s">
        <v>99</v>
      </c>
      <c r="B42" s="762" t="s">
        <v>207</v>
      </c>
      <c r="C42" s="501">
        <v>0</v>
      </c>
      <c r="D42" s="50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502">
        <v>0</v>
      </c>
      <c r="D43" s="502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502">
        <v>0</v>
      </c>
      <c r="D44" s="502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499">
        <v>0</v>
      </c>
      <c r="D45" s="49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499">
        <v>0</v>
      </c>
      <c r="D46" s="499">
        <v>4577</v>
      </c>
      <c r="E46" s="29">
        <v>0</v>
      </c>
      <c r="F46" s="660">
        <f t="shared" si="2"/>
        <v>4577</v>
      </c>
    </row>
    <row r="47" spans="1:6" s="531" customFormat="1" ht="12" customHeight="1">
      <c r="A47" s="529"/>
      <c r="B47" s="530" t="s">
        <v>133</v>
      </c>
      <c r="C47" s="498">
        <f>SUM(C33:C46)-C35-C40-C43</f>
        <v>18167</v>
      </c>
      <c r="D47" s="498">
        <f>SUM(D33:D46)-D35-D40-D43</f>
        <v>22744</v>
      </c>
      <c r="E47" s="498">
        <f>SUM(E33:E46)-E35-E40-E43</f>
        <v>0</v>
      </c>
      <c r="F47" s="661">
        <f t="shared" si="2"/>
        <v>22744</v>
      </c>
    </row>
    <row r="48" spans="1:6" s="533" customFormat="1" ht="13.5">
      <c r="A48" s="534" t="s">
        <v>103</v>
      </c>
      <c r="B48" s="530" t="s">
        <v>423</v>
      </c>
      <c r="C48" s="498">
        <v>39187</v>
      </c>
      <c r="D48" s="498">
        <v>59379</v>
      </c>
      <c r="E48" s="498">
        <v>-13930</v>
      </c>
      <c r="F48" s="665">
        <f t="shared" si="2"/>
        <v>45449</v>
      </c>
    </row>
    <row r="49" spans="1:6" s="420" customFormat="1" ht="13.5" customHeight="1">
      <c r="A49" s="373"/>
      <c r="B49" s="446" t="s">
        <v>211</v>
      </c>
      <c r="C49" s="450">
        <v>26521</v>
      </c>
      <c r="D49" s="450">
        <v>26521</v>
      </c>
      <c r="E49" s="450">
        <v>0</v>
      </c>
      <c r="F49" s="660">
        <f t="shared" si="2"/>
        <v>26521</v>
      </c>
    </row>
    <row r="50" spans="1:6" s="420" customFormat="1" ht="12" customHeight="1">
      <c r="A50" s="373"/>
      <c r="B50" s="543" t="s">
        <v>462</v>
      </c>
      <c r="C50" s="450">
        <v>0</v>
      </c>
      <c r="D50" s="450">
        <v>0</v>
      </c>
      <c r="E50" s="450">
        <v>0</v>
      </c>
      <c r="F50" s="660">
        <f t="shared" si="2"/>
        <v>0</v>
      </c>
    </row>
    <row r="51" spans="1:6" s="420" customFormat="1" ht="12" customHeight="1">
      <c r="A51" s="418"/>
      <c r="B51" s="451" t="s">
        <v>113</v>
      </c>
      <c r="C51" s="419">
        <f>SUM(C47:C48)</f>
        <v>57354</v>
      </c>
      <c r="D51" s="419">
        <f>SUM(D47:D48)</f>
        <v>82123</v>
      </c>
      <c r="E51" s="419">
        <f>SUM(E47:E48)</f>
        <v>-13930</v>
      </c>
      <c r="F51" s="662">
        <f t="shared" si="2"/>
        <v>68193</v>
      </c>
    </row>
    <row r="52" spans="5:7" ht="15.75">
      <c r="E52" s="546"/>
      <c r="F52" s="507"/>
      <c r="G52" s="8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CE,Normál"3/h.számú melléklet                
       </oddHeader>
    <oddFooter>&amp;L&amp;"Times New Roman CE,Normál"&amp;8&amp;F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G1" sqref="G1:AB16384"/>
    </sheetView>
  </sheetViews>
  <sheetFormatPr defaultColWidth="9.140625" defaultRowHeight="12.75"/>
  <cols>
    <col min="1" max="1" width="5.421875" style="40" customWidth="1"/>
    <col min="2" max="2" width="39.7109375" style="39" customWidth="1"/>
    <col min="3" max="4" width="10.7109375" style="137" customWidth="1"/>
    <col min="5" max="5" width="10.8515625" style="516" customWidth="1"/>
    <col min="6" max="6" width="12.00390625" style="673" customWidth="1"/>
  </cols>
  <sheetData>
    <row r="1" spans="1:6" ht="18.75">
      <c r="A1" s="36" t="s">
        <v>273</v>
      </c>
      <c r="B1" s="43"/>
      <c r="C1" s="135"/>
      <c r="D1" s="135"/>
      <c r="E1" s="514"/>
      <c r="F1" s="671"/>
    </row>
    <row r="2" spans="1:6" s="2" customFormat="1" ht="19.5">
      <c r="A2" s="108" t="s">
        <v>128</v>
      </c>
      <c r="B2" s="63"/>
      <c r="C2" s="136"/>
      <c r="D2" s="136"/>
      <c r="E2" s="515"/>
      <c r="F2" s="672"/>
    </row>
    <row r="3" spans="1:6" ht="18.75">
      <c r="A3" s="36" t="s">
        <v>601</v>
      </c>
      <c r="B3" s="43"/>
      <c r="C3" s="135"/>
      <c r="D3" s="135"/>
      <c r="E3" s="514"/>
      <c r="F3" s="671"/>
    </row>
    <row r="4" spans="1:6" ht="18.75">
      <c r="A4" s="36"/>
      <c r="B4" s="43"/>
      <c r="C4" s="135"/>
      <c r="D4" s="135"/>
      <c r="E4" s="514"/>
      <c r="F4" s="671"/>
    </row>
    <row r="5" spans="3:6" ht="12.75">
      <c r="C5" s="26"/>
      <c r="D5" s="26"/>
      <c r="E5" s="512"/>
      <c r="F5" s="621" t="s">
        <v>524</v>
      </c>
    </row>
    <row r="6" spans="1:6" s="441" customFormat="1" ht="36" customHeight="1">
      <c r="A6" s="439" t="s">
        <v>274</v>
      </c>
      <c r="B6" s="440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333" customFormat="1" ht="9.75" customHeight="1">
      <c r="A7" s="334" t="s">
        <v>247</v>
      </c>
      <c r="B7" s="335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350" customFormat="1" ht="12.75" customHeight="1">
      <c r="A8" s="337"/>
      <c r="B8" s="349" t="s">
        <v>105</v>
      </c>
      <c r="C8" s="422"/>
      <c r="D8" s="422">
        <v>234</v>
      </c>
      <c r="E8" s="517">
        <v>0</v>
      </c>
      <c r="F8" s="702">
        <v>234</v>
      </c>
    </row>
    <row r="9" spans="1:6" s="353" customFormat="1" ht="12.75" customHeight="1">
      <c r="A9" s="351"/>
      <c r="B9" s="377" t="s">
        <v>59</v>
      </c>
      <c r="C9" s="352"/>
      <c r="D9" s="352"/>
      <c r="E9" s="518"/>
      <c r="F9" s="674"/>
    </row>
    <row r="10" spans="1:6" s="350" customFormat="1" ht="12">
      <c r="A10" s="354" t="s">
        <v>247</v>
      </c>
      <c r="B10" s="355" t="s">
        <v>60</v>
      </c>
      <c r="C10" s="356">
        <f>SUM('4a.számú melléklet'!G182)</f>
        <v>918268</v>
      </c>
      <c r="D10" s="356">
        <f>SUM('4a.számú melléklet'!H182)</f>
        <v>1018833</v>
      </c>
      <c r="E10" s="356">
        <f>SUM('4a.számú melléklet'!I182)</f>
        <v>-4547</v>
      </c>
      <c r="F10" s="356">
        <f>SUM('4a.számú melléklet'!J182)</f>
        <v>1014286</v>
      </c>
    </row>
    <row r="11" spans="1:6" s="350" customFormat="1" ht="12.75" customHeight="1">
      <c r="A11" s="354" t="s">
        <v>248</v>
      </c>
      <c r="B11" s="355" t="s">
        <v>61</v>
      </c>
      <c r="C11" s="356">
        <f>SUM('4a.számú melléklet'!G184)</f>
        <v>292269</v>
      </c>
      <c r="D11" s="356">
        <f>SUM('4a.számú melléklet'!H184)</f>
        <v>324034</v>
      </c>
      <c r="E11" s="356">
        <f>SUM('4a.számú melléklet'!I184)</f>
        <v>-1398</v>
      </c>
      <c r="F11" s="356">
        <f>SUM('4a.számú melléklet'!J184)</f>
        <v>322636</v>
      </c>
    </row>
    <row r="12" spans="1:6" s="350" customFormat="1" ht="12">
      <c r="A12" s="354" t="s">
        <v>249</v>
      </c>
      <c r="B12" s="355" t="s">
        <v>62</v>
      </c>
      <c r="C12" s="356">
        <f>SUM('4a.számú melléklet'!G191)</f>
        <v>2253266</v>
      </c>
      <c r="D12" s="356">
        <f>SUM('4a.számú melléklet'!H191)</f>
        <v>5271596</v>
      </c>
      <c r="E12" s="356">
        <f>SUM('4a.számú melléklet'!I191)</f>
        <v>-391792</v>
      </c>
      <c r="F12" s="356">
        <f>SUM('4a.számú melléklet'!J191)</f>
        <v>4879804</v>
      </c>
    </row>
    <row r="13" spans="1:6" s="350" customFormat="1" ht="12">
      <c r="A13" s="777" t="s">
        <v>95</v>
      </c>
      <c r="B13" s="706" t="s">
        <v>471</v>
      </c>
      <c r="C13" s="778">
        <f>SUM('4a.számú melléklet'!G192)</f>
        <v>58500</v>
      </c>
      <c r="D13" s="778">
        <f>SUM('4a.számú melléklet'!H192)</f>
        <v>64040</v>
      </c>
      <c r="E13" s="778">
        <f>SUM('4a.számú melléklet'!I192)</f>
        <v>402821</v>
      </c>
      <c r="F13" s="778">
        <f>SUM('4a.számú melléklet'!J192)</f>
        <v>466861</v>
      </c>
    </row>
    <row r="14" spans="1:6" s="333" customFormat="1" ht="12">
      <c r="A14" s="782"/>
      <c r="B14" s="863" t="s">
        <v>186</v>
      </c>
      <c r="C14" s="784">
        <f>SUM('4a.számú melléklet'!G193)</f>
        <v>58500</v>
      </c>
      <c r="D14" s="784">
        <f>SUM('4a.számú melléklet'!H193)</f>
        <v>64040</v>
      </c>
      <c r="E14" s="784">
        <f>SUM('4a.számú melléklet'!I193)</f>
        <v>402821</v>
      </c>
      <c r="F14" s="784">
        <f>SUM('4a.számú melléklet'!J193)</f>
        <v>466861</v>
      </c>
    </row>
    <row r="15" spans="1:6" s="333" customFormat="1" ht="12">
      <c r="A15" s="783"/>
      <c r="B15" s="864" t="s">
        <v>639</v>
      </c>
      <c r="C15" s="785">
        <f>SUM('4a.számú melléklet'!G194)</f>
        <v>0</v>
      </c>
      <c r="D15" s="785">
        <f>SUM('4a.számú melléklet'!H194)</f>
        <v>0</v>
      </c>
      <c r="E15" s="785">
        <f>SUM('4a.számú melléklet'!I194)</f>
        <v>402821</v>
      </c>
      <c r="F15" s="785">
        <f>SUM('4a.számú melléklet'!J194)</f>
        <v>402821</v>
      </c>
    </row>
    <row r="16" spans="1:6" s="350" customFormat="1" ht="12">
      <c r="A16" s="779" t="s">
        <v>96</v>
      </c>
      <c r="B16" s="780" t="s">
        <v>417</v>
      </c>
      <c r="C16" s="781">
        <f>SUM('4a.számú melléklet'!G195)</f>
        <v>372119</v>
      </c>
      <c r="D16" s="781">
        <f>SUM('4a.számú melléklet'!H195)</f>
        <v>391685</v>
      </c>
      <c r="E16" s="781">
        <f>SUM('4a.számú melléklet'!I195)</f>
        <v>-25756</v>
      </c>
      <c r="F16" s="781">
        <f>SUM('4a.számú melléklet'!J195)</f>
        <v>365929</v>
      </c>
    </row>
    <row r="17" spans="1:6" s="333" customFormat="1" ht="12.75" customHeight="1">
      <c r="A17" s="357"/>
      <c r="B17" s="359" t="s">
        <v>184</v>
      </c>
      <c r="C17" s="358">
        <f>SUM('4a.számú melléklet'!G196)</f>
        <v>124670</v>
      </c>
      <c r="D17" s="358">
        <f>SUM('4a.számú melléklet'!H196)</f>
        <v>131224</v>
      </c>
      <c r="E17" s="358">
        <f>SUM('4a.számú melléklet'!I196)</f>
        <v>11396</v>
      </c>
      <c r="F17" s="358">
        <f>SUM('4a.számú melléklet'!J196)</f>
        <v>142620</v>
      </c>
    </row>
    <row r="18" spans="1:6" s="333" customFormat="1" ht="12.75" customHeight="1">
      <c r="A18" s="357"/>
      <c r="B18" s="359" t="s">
        <v>189</v>
      </c>
      <c r="C18" s="358">
        <f>SUM('4a.számú melléklet'!G197)</f>
        <v>247354</v>
      </c>
      <c r="D18" s="358">
        <f>SUM('4a.számú melléklet'!H197)</f>
        <v>260366</v>
      </c>
      <c r="E18" s="358">
        <f>SUM('4a.számú melléklet'!I197)</f>
        <v>-37152</v>
      </c>
      <c r="F18" s="358">
        <f>SUM('4a.számú melléklet'!J197)</f>
        <v>223214</v>
      </c>
    </row>
    <row r="19" spans="1:6" s="333" customFormat="1" ht="12.75" customHeight="1">
      <c r="A19" s="357"/>
      <c r="B19" s="360" t="s">
        <v>185</v>
      </c>
      <c r="C19" s="358">
        <f>SUM('4a.számú melléklet'!G198)</f>
        <v>95</v>
      </c>
      <c r="D19" s="358">
        <f>SUM('4a.számú melléklet'!H198)</f>
        <v>95</v>
      </c>
      <c r="E19" s="358">
        <f>SUM('4a.számú melléklet'!I198)</f>
        <v>0</v>
      </c>
      <c r="F19" s="358">
        <f>SUM('4a.számú melléklet'!J198)</f>
        <v>95</v>
      </c>
    </row>
    <row r="20" spans="1:6" s="350" customFormat="1" ht="12">
      <c r="A20" s="354" t="s">
        <v>97</v>
      </c>
      <c r="B20" s="355" t="s">
        <v>93</v>
      </c>
      <c r="C20" s="356">
        <f>SUM('4a.számú melléklet'!G199)</f>
        <v>566495</v>
      </c>
      <c r="D20" s="356">
        <f>SUM('4a.számú melléklet'!H199)</f>
        <v>569160</v>
      </c>
      <c r="E20" s="356">
        <f>SUM('4a.számú melléklet'!I199)</f>
        <v>-6666</v>
      </c>
      <c r="F20" s="356">
        <f>SUM('4a.számú melléklet'!J199)</f>
        <v>562494</v>
      </c>
    </row>
    <row r="21" spans="1:6" s="353" customFormat="1" ht="12">
      <c r="A21" s="361" t="s">
        <v>277</v>
      </c>
      <c r="B21" s="142" t="s">
        <v>34</v>
      </c>
      <c r="C21" s="362">
        <f>SUM(C10,C11,C12,C13,C16,C20)</f>
        <v>4460917</v>
      </c>
      <c r="D21" s="362">
        <f>SUM(D10,D11,D12,D13,D16,D20)</f>
        <v>7639348</v>
      </c>
      <c r="E21" s="362">
        <f>SUM(E10,E11,E12,E13,E16,E20)</f>
        <v>-27338</v>
      </c>
      <c r="F21" s="362">
        <f>SUM(F10,F11,F12,F13,F16,F20)</f>
        <v>7612010</v>
      </c>
    </row>
    <row r="22" spans="1:6" s="350" customFormat="1" ht="12">
      <c r="A22" s="357"/>
      <c r="B22" s="363" t="s">
        <v>214</v>
      </c>
      <c r="C22" s="358">
        <f>SUM('4a.számú melléklet'!G200)</f>
        <v>2000</v>
      </c>
      <c r="D22" s="358">
        <f>SUM('4a.számú melléklet'!H200)</f>
        <v>22000</v>
      </c>
      <c r="E22" s="358">
        <f>SUM('4a.számú melléklet'!I200)</f>
        <v>0</v>
      </c>
      <c r="F22" s="358">
        <f>SUM('4a.számú melléklet'!J200)</f>
        <v>22000</v>
      </c>
    </row>
    <row r="23" spans="1:6" s="350" customFormat="1" ht="12">
      <c r="A23" s="357"/>
      <c r="B23" s="363" t="s">
        <v>410</v>
      </c>
      <c r="C23" s="358">
        <f>SUM('4a.számú melléklet'!G201)</f>
        <v>51500</v>
      </c>
      <c r="D23" s="358">
        <f>SUM('4a.számú melléklet'!H201)</f>
        <v>71566</v>
      </c>
      <c r="E23" s="358">
        <f>SUM('4a.számú melléklet'!I201)</f>
        <v>0</v>
      </c>
      <c r="F23" s="358">
        <f>SUM('4a.számú melléklet'!J201)</f>
        <v>71566</v>
      </c>
    </row>
    <row r="24" spans="1:6" s="350" customFormat="1" ht="12">
      <c r="A24" s="357"/>
      <c r="B24" s="363" t="s">
        <v>215</v>
      </c>
      <c r="C24" s="358">
        <f>SUM('4a.számú melléklet'!G202)</f>
        <v>0</v>
      </c>
      <c r="D24" s="358">
        <f>SUM('4a.számú melléklet'!H202)</f>
        <v>0</v>
      </c>
      <c r="E24" s="358">
        <f>SUM('4a.számú melléklet'!I202)</f>
        <v>349858</v>
      </c>
      <c r="F24" s="358">
        <f>SUM('4a.számú melléklet'!J202)</f>
        <v>349858</v>
      </c>
    </row>
    <row r="25" spans="1:6" s="350" customFormat="1" ht="12">
      <c r="A25" s="357"/>
      <c r="B25" s="363" t="s">
        <v>349</v>
      </c>
      <c r="C25" s="358">
        <f>SUM('4a.számú melléklet'!G140,'4a.számú melléklet'!G13)</f>
        <v>10000</v>
      </c>
      <c r="D25" s="358">
        <f>SUM('4a.számú melléklet'!H140,'4a.számú melléklet'!H13)</f>
        <v>62317</v>
      </c>
      <c r="E25" s="358">
        <f>SUM('4a.számú melléklet'!I140,'4a.számú melléklet'!I13)</f>
        <v>176079</v>
      </c>
      <c r="F25" s="358">
        <f>SUM('4a.számú melléklet'!J140,'4a.számú melléklet'!J13)</f>
        <v>238396</v>
      </c>
    </row>
    <row r="26" spans="1:6" s="350" customFormat="1" ht="12">
      <c r="A26" s="354" t="s">
        <v>98</v>
      </c>
      <c r="B26" s="355" t="s">
        <v>499</v>
      </c>
      <c r="C26" s="356">
        <f>SUM(C22:C25)</f>
        <v>63500</v>
      </c>
      <c r="D26" s="356">
        <f>SUM(D22:D25)</f>
        <v>155883</v>
      </c>
      <c r="E26" s="356">
        <f>SUM(E22:E25)</f>
        <v>525937</v>
      </c>
      <c r="F26" s="356">
        <f>SUM(F22:F25)</f>
        <v>681820</v>
      </c>
    </row>
    <row r="27" spans="1:6" s="350" customFormat="1" ht="12">
      <c r="A27" s="354" t="s">
        <v>99</v>
      </c>
      <c r="B27" s="355" t="s">
        <v>217</v>
      </c>
      <c r="C27" s="356">
        <f>SUM('4a.számú melléklet'!G204)</f>
        <v>66672</v>
      </c>
      <c r="D27" s="356">
        <f>SUM('4a.számú melléklet'!H204)</f>
        <v>98299</v>
      </c>
      <c r="E27" s="356">
        <f>SUM('4a.számú melléklet'!I204)</f>
        <v>0</v>
      </c>
      <c r="F27" s="356">
        <f>SUM('4a.számú melléklet'!J204)</f>
        <v>98299</v>
      </c>
    </row>
    <row r="28" spans="1:6" s="350" customFormat="1" ht="12">
      <c r="A28" s="354" t="s">
        <v>100</v>
      </c>
      <c r="B28" s="355" t="s">
        <v>218</v>
      </c>
      <c r="C28" s="356">
        <f>SUM('4a.számú melléklet'!G205)</f>
        <v>649669</v>
      </c>
      <c r="D28" s="356">
        <f>SUM('4a.számú melléklet'!H205)</f>
        <v>2570658</v>
      </c>
      <c r="E28" s="356">
        <f>SUM('4a.számú melléklet'!I205)</f>
        <v>175774</v>
      </c>
      <c r="F28" s="356">
        <f>SUM('4a.számú melléklet'!J205)</f>
        <v>2746432</v>
      </c>
    </row>
    <row r="29" spans="1:6" s="350" customFormat="1" ht="12">
      <c r="A29" s="354" t="s">
        <v>101</v>
      </c>
      <c r="B29" s="355" t="s">
        <v>219</v>
      </c>
      <c r="C29" s="356">
        <f>SUM('4a.számú melléklet'!G206)</f>
        <v>0</v>
      </c>
      <c r="D29" s="356">
        <f>SUM('4a.számú melléklet'!H206)</f>
        <v>0</v>
      </c>
      <c r="E29" s="356">
        <f>SUM('4a.számú melléklet'!I206)</f>
        <v>0</v>
      </c>
      <c r="F29" s="356">
        <f>SUM('4a.számú melléklet'!J206)</f>
        <v>0</v>
      </c>
    </row>
    <row r="30" spans="1:6" s="407" customFormat="1" ht="12">
      <c r="A30" s="786" t="s">
        <v>102</v>
      </c>
      <c r="B30" s="787" t="s">
        <v>473</v>
      </c>
      <c r="C30" s="788">
        <f>SUM('4a.számú melléklet'!G207)</f>
        <v>91501</v>
      </c>
      <c r="D30" s="788">
        <f>SUM('4a.számú melléklet'!H207)</f>
        <v>1600881</v>
      </c>
      <c r="E30" s="788">
        <f>SUM('4a.számú melléklet'!I207)</f>
        <v>134272</v>
      </c>
      <c r="F30" s="788">
        <f>SUM('4a.számú melléklet'!J207)</f>
        <v>1735153</v>
      </c>
    </row>
    <row r="31" spans="1:6" s="333" customFormat="1" ht="12">
      <c r="A31" s="782"/>
      <c r="B31" s="863" t="s">
        <v>186</v>
      </c>
      <c r="C31" s="784">
        <f>SUM('4a.számú melléklet'!G208)</f>
        <v>85501</v>
      </c>
      <c r="D31" s="784">
        <f>SUM('4a.számú melléklet'!H208)</f>
        <v>1594881</v>
      </c>
      <c r="E31" s="784">
        <f>SUM('4a.számú melléklet'!I208)</f>
        <v>134272</v>
      </c>
      <c r="F31" s="784">
        <f>SUM('4a.számú melléklet'!J208)</f>
        <v>1729153</v>
      </c>
    </row>
    <row r="32" spans="1:6" s="333" customFormat="1" ht="12">
      <c r="A32" s="783"/>
      <c r="B32" s="864" t="s">
        <v>639</v>
      </c>
      <c r="C32" s="785">
        <f>SUM('4a.számú melléklet'!G209)</f>
        <v>0</v>
      </c>
      <c r="D32" s="785">
        <f>SUM('4a.számú melléklet'!H209)</f>
        <v>0</v>
      </c>
      <c r="E32" s="785">
        <f>SUM('4a.számú melléklet'!I209)</f>
        <v>114272</v>
      </c>
      <c r="F32" s="785">
        <f>SUM('4a.számú melléklet'!J209)</f>
        <v>114272</v>
      </c>
    </row>
    <row r="33" spans="1:6" s="333" customFormat="1" ht="12">
      <c r="A33" s="783"/>
      <c r="B33" s="789" t="s">
        <v>188</v>
      </c>
      <c r="C33" s="785">
        <f>SUM('4a.számú melléklet'!G210)</f>
        <v>6000</v>
      </c>
      <c r="D33" s="785">
        <f>SUM('4a.számú melléklet'!H210)</f>
        <v>6000</v>
      </c>
      <c r="E33" s="785">
        <f>SUM('4a.számú melléklet'!I210)</f>
        <v>0</v>
      </c>
      <c r="F33" s="785">
        <f>SUM('4a.számú melléklet'!J210)</f>
        <v>6000</v>
      </c>
    </row>
    <row r="34" spans="1:6" s="407" customFormat="1" ht="24.75" customHeight="1">
      <c r="A34" s="364" t="s">
        <v>103</v>
      </c>
      <c r="B34" s="405" t="s">
        <v>109</v>
      </c>
      <c r="C34" s="406">
        <f>SUM('4a.számú melléklet'!G211)</f>
        <v>116231</v>
      </c>
      <c r="D34" s="406">
        <f>SUM('4a.számú melléklet'!H211)</f>
        <v>643734</v>
      </c>
      <c r="E34" s="406">
        <f>SUM('4a.számú melléklet'!I211)</f>
        <v>-26418</v>
      </c>
      <c r="F34" s="406">
        <f>SUM('4a.számú melléklet'!J211)</f>
        <v>617316</v>
      </c>
    </row>
    <row r="35" spans="1:6" s="333" customFormat="1" ht="12.75" customHeight="1">
      <c r="A35" s="357"/>
      <c r="B35" s="100" t="s">
        <v>184</v>
      </c>
      <c r="C35" s="358">
        <f>SUM('4a.számú melléklet'!G212)</f>
        <v>81931</v>
      </c>
      <c r="D35" s="358">
        <f>SUM('4a.számú melléklet'!H212)</f>
        <v>142533</v>
      </c>
      <c r="E35" s="358">
        <f>SUM('4a.számú melléklet'!I212)</f>
        <v>-20000</v>
      </c>
      <c r="F35" s="358">
        <f>SUM('4a.számú melléklet'!J212)</f>
        <v>122533</v>
      </c>
    </row>
    <row r="36" spans="1:6" s="333" customFormat="1" ht="12.75" customHeight="1">
      <c r="A36" s="357"/>
      <c r="B36" s="104" t="s">
        <v>187</v>
      </c>
      <c r="C36" s="358">
        <f>SUM('4a.számú melléklet'!G213)</f>
        <v>20000</v>
      </c>
      <c r="D36" s="358">
        <f>SUM('4a.számú melléklet'!H213)</f>
        <v>20000</v>
      </c>
      <c r="E36" s="358">
        <f>SUM('4a.számú melléklet'!I213)</f>
        <v>0</v>
      </c>
      <c r="F36" s="358">
        <f>SUM('4a.számú melléklet'!J213)</f>
        <v>20000</v>
      </c>
    </row>
    <row r="37" spans="1:6" s="333" customFormat="1" ht="12.75" customHeight="1">
      <c r="A37" s="357"/>
      <c r="B37" s="104" t="s">
        <v>427</v>
      </c>
      <c r="C37" s="358">
        <f>SUM('4a.számú melléklet'!G214)</f>
        <v>0</v>
      </c>
      <c r="D37" s="358">
        <f>SUM('4a.számú melléklet'!H214)</f>
        <v>0</v>
      </c>
      <c r="E37" s="358">
        <f>SUM('4a.számú melléklet'!I214)</f>
        <v>0</v>
      </c>
      <c r="F37" s="358">
        <f>SUM('4a.számú melléklet'!J214)</f>
        <v>0</v>
      </c>
    </row>
    <row r="38" spans="1:6" s="333" customFormat="1" ht="12.75" customHeight="1">
      <c r="A38" s="357"/>
      <c r="B38" s="104" t="s">
        <v>185</v>
      </c>
      <c r="C38" s="358">
        <f>SUM('4a.számú melléklet'!G215)</f>
        <v>11000</v>
      </c>
      <c r="D38" s="358">
        <f>SUM('4a.számú melléklet'!H215)</f>
        <v>477901</v>
      </c>
      <c r="E38" s="358">
        <f>SUM('4a.számú melléklet'!I215)</f>
        <v>-6418</v>
      </c>
      <c r="F38" s="358">
        <f>SUM('4a.számú melléklet'!J215)</f>
        <v>471483</v>
      </c>
    </row>
    <row r="39" spans="1:6" s="333" customFormat="1" ht="12.75" customHeight="1">
      <c r="A39" s="357"/>
      <c r="B39" s="104" t="s">
        <v>77</v>
      </c>
      <c r="C39" s="358">
        <f>SUM('4a.számú melléklet'!G216)</f>
        <v>3300</v>
      </c>
      <c r="D39" s="358">
        <f>SUM('4a.számú melléklet'!H216)</f>
        <v>3300</v>
      </c>
      <c r="E39" s="358">
        <f>SUM('4a.számú melléklet'!I216)</f>
        <v>0</v>
      </c>
      <c r="F39" s="358">
        <f>SUM('4a.számú melléklet'!J216)</f>
        <v>3300</v>
      </c>
    </row>
    <row r="40" spans="1:6" s="410" customFormat="1" ht="24.75" customHeight="1">
      <c r="A40" s="365" t="s">
        <v>397</v>
      </c>
      <c r="B40" s="408" t="s">
        <v>413</v>
      </c>
      <c r="C40" s="409">
        <f>SUM(C26,C27,C28,C29,C30,C34)</f>
        <v>987573</v>
      </c>
      <c r="D40" s="409">
        <f>SUM(D26,D27,D28,D29,D30,D34)</f>
        <v>5069455</v>
      </c>
      <c r="E40" s="409">
        <f>SUM(E26,E27,E28,E29,E30,E34)</f>
        <v>809565</v>
      </c>
      <c r="F40" s="409">
        <f>SUM(F26,F27,F28,F29,F30,F34)</f>
        <v>5879020</v>
      </c>
    </row>
    <row r="41" spans="1:6" s="350" customFormat="1" ht="12.75" customHeight="1">
      <c r="A41" s="364" t="s">
        <v>104</v>
      </c>
      <c r="B41" s="338" t="s">
        <v>500</v>
      </c>
      <c r="C41" s="339">
        <f>SUM('4a.számú melléklet'!G217)</f>
        <v>145064</v>
      </c>
      <c r="D41" s="339">
        <f>SUM('4a.számú melléklet'!H217)</f>
        <v>145064</v>
      </c>
      <c r="E41" s="339">
        <f>SUM('4a.számú melléklet'!I217)</f>
        <v>0</v>
      </c>
      <c r="F41" s="339">
        <f>SUM('4a.számú melléklet'!J217)</f>
        <v>145064</v>
      </c>
    </row>
    <row r="42" spans="1:6" s="353" customFormat="1" ht="12.75" customHeight="1">
      <c r="A42" s="365"/>
      <c r="B42" s="294" t="s">
        <v>136</v>
      </c>
      <c r="C42" s="366">
        <f>SUM('4a.számú melléklet'!G218)</f>
        <v>145064</v>
      </c>
      <c r="D42" s="366">
        <f>SUM('4a.számú melléklet'!H218)</f>
        <v>145064</v>
      </c>
      <c r="E42" s="366">
        <f>SUM('4a.számú melléklet'!I218)</f>
        <v>0</v>
      </c>
      <c r="F42" s="366">
        <f>SUM('4a.számú melléklet'!J218)</f>
        <v>145064</v>
      </c>
    </row>
    <row r="43" spans="1:6" s="353" customFormat="1" ht="12.75" customHeight="1">
      <c r="A43" s="365"/>
      <c r="B43" s="336" t="s">
        <v>254</v>
      </c>
      <c r="C43" s="366">
        <f>SUM('4a.számú melléklet'!G219)</f>
        <v>0</v>
      </c>
      <c r="D43" s="366">
        <f>SUM('4a.számú melléklet'!H219)</f>
        <v>0</v>
      </c>
      <c r="E43" s="366">
        <f>SUM('4a.számú melléklet'!I219)</f>
        <v>0</v>
      </c>
      <c r="F43" s="366">
        <f>SUM('4a.számú melléklet'!J219)</f>
        <v>0</v>
      </c>
    </row>
    <row r="44" spans="1:6" s="350" customFormat="1" ht="12.75" customHeight="1">
      <c r="A44" s="354" t="s">
        <v>283</v>
      </c>
      <c r="B44" s="338" t="s">
        <v>338</v>
      </c>
      <c r="C44" s="339">
        <f>SUM(C45:C46)</f>
        <v>505332</v>
      </c>
      <c r="D44" s="339">
        <f>SUM(D45:D46)</f>
        <v>505332</v>
      </c>
      <c r="E44" s="339">
        <f>SUM(E45:E46)</f>
        <v>0</v>
      </c>
      <c r="F44" s="339">
        <f>SUM(F45:F46)</f>
        <v>505332</v>
      </c>
    </row>
    <row r="45" spans="1:6" s="353" customFormat="1" ht="12.75" customHeight="1">
      <c r="A45" s="365"/>
      <c r="B45" s="294" t="s">
        <v>336</v>
      </c>
      <c r="C45" s="366">
        <f>SUM('4a.számú melléklet'!G221)</f>
        <v>498000</v>
      </c>
      <c r="D45" s="366">
        <f>SUM('4a.számú melléklet'!H221)</f>
        <v>498000</v>
      </c>
      <c r="E45" s="366">
        <f>SUM('4a.számú melléklet'!I221)</f>
        <v>0</v>
      </c>
      <c r="F45" s="366">
        <f>SUM('4a.számú melléklet'!J221)</f>
        <v>498000</v>
      </c>
    </row>
    <row r="46" spans="1:6" s="353" customFormat="1" ht="12.75" customHeight="1">
      <c r="A46" s="365"/>
      <c r="B46" s="294" t="s">
        <v>337</v>
      </c>
      <c r="C46" s="366">
        <f>SUM('4a.számú melléklet'!G222)</f>
        <v>7332</v>
      </c>
      <c r="D46" s="366">
        <f>SUM('4a.számú melléklet'!H222)</f>
        <v>7332</v>
      </c>
      <c r="E46" s="366">
        <f>SUM('4a.számú melléklet'!I222)</f>
        <v>0</v>
      </c>
      <c r="F46" s="366">
        <f>SUM('4a.számú melléklet'!J222)</f>
        <v>7332</v>
      </c>
    </row>
    <row r="47" spans="1:6" s="350" customFormat="1" ht="12.75" customHeight="1">
      <c r="A47" s="364" t="s">
        <v>284</v>
      </c>
      <c r="B47" s="423" t="s">
        <v>112</v>
      </c>
      <c r="C47" s="339">
        <f>SUM('4a.számú melléklet'!G223)</f>
        <v>1453639</v>
      </c>
      <c r="D47" s="339">
        <f>SUM('4a.számú melléklet'!H223)</f>
        <v>5868431</v>
      </c>
      <c r="E47" s="339">
        <f>SUM('4a.számú melléklet'!I223)</f>
        <v>-533793</v>
      </c>
      <c r="F47" s="339">
        <f>SUM('4a.számú melléklet'!J223)</f>
        <v>5334638</v>
      </c>
    </row>
    <row r="48" spans="1:6" s="353" customFormat="1" ht="12.75" customHeight="1">
      <c r="A48" s="365"/>
      <c r="B48" s="294" t="s">
        <v>255</v>
      </c>
      <c r="C48" s="366">
        <f>SUM('4a.számú melléklet'!G224)</f>
        <v>628235</v>
      </c>
      <c r="D48" s="366">
        <f>SUM('4a.számú melléklet'!H224)</f>
        <v>0</v>
      </c>
      <c r="E48" s="366">
        <f>SUM('4a.számú melléklet'!I224)</f>
        <v>0</v>
      </c>
      <c r="F48" s="366">
        <f>SUM('4a.számú melléklet'!J224)</f>
        <v>0</v>
      </c>
    </row>
    <row r="49" spans="1:6" s="353" customFormat="1" ht="12.75" customHeight="1">
      <c r="A49" s="365"/>
      <c r="B49" s="304" t="s">
        <v>426</v>
      </c>
      <c r="C49" s="366">
        <f>SUM('4a.számú melléklet'!G225)</f>
        <v>62000</v>
      </c>
      <c r="D49" s="366">
        <f>SUM('4a.számú melléklet'!H225)</f>
        <v>24598</v>
      </c>
      <c r="E49" s="366">
        <f>SUM('4a.számú melléklet'!I225)</f>
        <v>-13413</v>
      </c>
      <c r="F49" s="366">
        <f>SUM('4a.számú melléklet'!J225)</f>
        <v>11185</v>
      </c>
    </row>
    <row r="50" spans="1:6" s="353" customFormat="1" ht="12.75" customHeight="1">
      <c r="A50" s="365"/>
      <c r="B50" s="305" t="s">
        <v>256</v>
      </c>
      <c r="C50" s="366">
        <f>SUM('4a.számú melléklet'!G226)</f>
        <v>763404</v>
      </c>
      <c r="D50" s="366">
        <f>SUM('4a.számú melléklet'!H226)</f>
        <v>5843833</v>
      </c>
      <c r="E50" s="366">
        <f>SUM('4a.számú melléklet'!I226)</f>
        <v>-520380</v>
      </c>
      <c r="F50" s="366">
        <f>SUM('4a.számú melléklet'!J226)</f>
        <v>5323453</v>
      </c>
    </row>
    <row r="51" spans="1:6" s="2" customFormat="1" ht="12.75" customHeight="1">
      <c r="A51" s="112"/>
      <c r="B51" s="376" t="s">
        <v>678</v>
      </c>
      <c r="C51" s="375">
        <f>SUM(C21,C40,C41,C44,C47)</f>
        <v>7552525</v>
      </c>
      <c r="D51" s="375">
        <f>SUM(D21,D40,D41,D44,D47)</f>
        <v>19227630</v>
      </c>
      <c r="E51" s="375">
        <f>SUM(E21,E40,E41,E44,E47)</f>
        <v>248434</v>
      </c>
      <c r="F51" s="375">
        <f>SUM(F21,F40,F41,F44,F47)</f>
        <v>19476064</v>
      </c>
    </row>
    <row r="52" spans="1:6" s="333" customFormat="1" ht="12.75" customHeight="1">
      <c r="A52" s="364" t="s">
        <v>395</v>
      </c>
      <c r="B52" s="374" t="s">
        <v>78</v>
      </c>
      <c r="C52" s="366">
        <f>SUM('4a.számú melléklet'!G227)</f>
        <v>7528303</v>
      </c>
      <c r="D52" s="366">
        <f>SUM('4a.számú melléklet'!H227)</f>
        <v>8322090</v>
      </c>
      <c r="E52" s="366">
        <f>SUM('4a.számú melléklet'!I227)</f>
        <v>50956</v>
      </c>
      <c r="F52" s="366">
        <f>SUM('4a.számú melléklet'!J227)</f>
        <v>8373046</v>
      </c>
    </row>
    <row r="53" spans="1:6" s="111" customFormat="1" ht="12.75" customHeight="1">
      <c r="A53" s="109"/>
      <c r="B53" s="110" t="s">
        <v>677</v>
      </c>
      <c r="C53" s="375">
        <f>SUM(C21,C40,C41,C44,C47,C52)</f>
        <v>15080828</v>
      </c>
      <c r="D53" s="375">
        <f>SUM(D21,D40,D41,D44,D47,D52)</f>
        <v>27549720</v>
      </c>
      <c r="E53" s="375">
        <f>SUM(E21,E40,E41,E44,E47,E52)</f>
        <v>299390</v>
      </c>
      <c r="F53" s="375">
        <f>SUM(F21,F40,F41,F44,F47,F52)</f>
        <v>27849110</v>
      </c>
    </row>
    <row r="54" spans="1:6" s="333" customFormat="1" ht="12.75" customHeight="1">
      <c r="A54" s="357"/>
      <c r="B54" s="34" t="s">
        <v>378</v>
      </c>
      <c r="C54" s="274"/>
      <c r="D54" s="274"/>
      <c r="E54" s="521"/>
      <c r="F54" s="521"/>
    </row>
    <row r="55" spans="1:6" s="333" customFormat="1" ht="12.75" customHeight="1">
      <c r="A55" s="357" t="s">
        <v>247</v>
      </c>
      <c r="B55" s="140" t="s">
        <v>464</v>
      </c>
      <c r="C55" s="560">
        <v>22000</v>
      </c>
      <c r="D55" s="560">
        <v>22000</v>
      </c>
      <c r="E55" s="560">
        <v>0</v>
      </c>
      <c r="F55" s="560">
        <f>SUM(D55:E55)</f>
        <v>22000</v>
      </c>
    </row>
    <row r="56" spans="1:6" s="407" customFormat="1" ht="25.5">
      <c r="A56" s="411" t="s">
        <v>248</v>
      </c>
      <c r="B56" s="457" t="s">
        <v>155</v>
      </c>
      <c r="C56" s="561">
        <v>85596</v>
      </c>
      <c r="D56" s="561">
        <v>87846</v>
      </c>
      <c r="E56" s="561">
        <v>1500</v>
      </c>
      <c r="F56" s="561">
        <f>SUM(D56:E56)</f>
        <v>89346</v>
      </c>
    </row>
    <row r="57" spans="1:6" s="333" customFormat="1" ht="12.75">
      <c r="A57" s="411" t="s">
        <v>249</v>
      </c>
      <c r="B57" s="35" t="s">
        <v>94</v>
      </c>
      <c r="C57" s="560">
        <v>700</v>
      </c>
      <c r="D57" s="560">
        <v>700</v>
      </c>
      <c r="E57" s="560">
        <v>0</v>
      </c>
      <c r="F57" s="560">
        <f>SUM(D57:E57)</f>
        <v>700</v>
      </c>
    </row>
    <row r="58" spans="1:6" s="333" customFormat="1" ht="12.75">
      <c r="A58" s="411" t="s">
        <v>95</v>
      </c>
      <c r="B58" s="35" t="s">
        <v>421</v>
      </c>
      <c r="C58" s="560">
        <v>234491</v>
      </c>
      <c r="D58" s="560">
        <v>234491</v>
      </c>
      <c r="E58" s="560">
        <v>300</v>
      </c>
      <c r="F58" s="560">
        <f aca="true" t="shared" si="0" ref="F58:F63">SUM(D58:E58)</f>
        <v>234791</v>
      </c>
    </row>
    <row r="59" spans="1:6" s="350" customFormat="1" ht="12.75">
      <c r="A59" s="411" t="s">
        <v>96</v>
      </c>
      <c r="B59" s="35" t="s">
        <v>297</v>
      </c>
      <c r="C59" s="560">
        <v>550000</v>
      </c>
      <c r="D59" s="560">
        <v>550000</v>
      </c>
      <c r="E59" s="560">
        <v>0</v>
      </c>
      <c r="F59" s="560">
        <f t="shared" si="0"/>
        <v>550000</v>
      </c>
    </row>
    <row r="60" spans="1:6" s="350" customFormat="1" ht="12">
      <c r="A60" s="411" t="s">
        <v>97</v>
      </c>
      <c r="B60" s="273" t="s">
        <v>122</v>
      </c>
      <c r="C60" s="560">
        <v>4471008</v>
      </c>
      <c r="D60" s="560">
        <v>4471008</v>
      </c>
      <c r="E60" s="560">
        <v>-18197</v>
      </c>
      <c r="F60" s="560">
        <f t="shared" si="0"/>
        <v>4452811</v>
      </c>
    </row>
    <row r="61" spans="1:6" s="350" customFormat="1" ht="12">
      <c r="A61" s="411" t="s">
        <v>98</v>
      </c>
      <c r="B61" s="273" t="s">
        <v>84</v>
      </c>
      <c r="C61" s="560">
        <v>1551685</v>
      </c>
      <c r="D61" s="560">
        <v>1583368</v>
      </c>
      <c r="E61" s="560">
        <v>0</v>
      </c>
      <c r="F61" s="560">
        <f t="shared" si="0"/>
        <v>1583368</v>
      </c>
    </row>
    <row r="62" spans="1:6" s="350" customFormat="1" ht="12">
      <c r="A62" s="411" t="s">
        <v>99</v>
      </c>
      <c r="B62" s="273" t="s">
        <v>121</v>
      </c>
      <c r="C62" s="560">
        <v>5000</v>
      </c>
      <c r="D62" s="560">
        <v>5000</v>
      </c>
      <c r="E62" s="560">
        <v>0</v>
      </c>
      <c r="F62" s="560">
        <f t="shared" si="0"/>
        <v>5000</v>
      </c>
    </row>
    <row r="63" spans="1:6" s="350" customFormat="1" ht="12">
      <c r="A63" s="790" t="s">
        <v>100</v>
      </c>
      <c r="B63" s="791" t="s">
        <v>356</v>
      </c>
      <c r="C63" s="792">
        <v>599946</v>
      </c>
      <c r="D63" s="792">
        <v>599946</v>
      </c>
      <c r="E63" s="792">
        <v>0</v>
      </c>
      <c r="F63" s="792">
        <f t="shared" si="0"/>
        <v>599946</v>
      </c>
    </row>
    <row r="64" spans="1:6" s="407" customFormat="1" ht="25.5" customHeight="1">
      <c r="A64" s="790" t="s">
        <v>101</v>
      </c>
      <c r="B64" s="762" t="s">
        <v>205</v>
      </c>
      <c r="C64" s="794">
        <v>91821</v>
      </c>
      <c r="D64" s="794">
        <v>108777</v>
      </c>
      <c r="E64" s="794">
        <v>17458</v>
      </c>
      <c r="F64" s="794">
        <f aca="true" t="shared" si="1" ref="F64:F77">SUM(D64:E64)</f>
        <v>126235</v>
      </c>
    </row>
    <row r="65" spans="1:6" s="407" customFormat="1" ht="12" customHeight="1">
      <c r="A65" s="649"/>
      <c r="B65" s="761" t="s">
        <v>639</v>
      </c>
      <c r="C65" s="793">
        <v>0</v>
      </c>
      <c r="D65" s="793">
        <v>0</v>
      </c>
      <c r="E65" s="793">
        <v>0</v>
      </c>
      <c r="F65" s="793">
        <f>SUM(D65:E65)</f>
        <v>0</v>
      </c>
    </row>
    <row r="66" spans="1:6" s="407" customFormat="1" ht="25.5" customHeight="1">
      <c r="A66" s="649" t="s">
        <v>102</v>
      </c>
      <c r="B66" s="761" t="s">
        <v>320</v>
      </c>
      <c r="C66" s="793">
        <v>0</v>
      </c>
      <c r="D66" s="793">
        <v>2171</v>
      </c>
      <c r="E66" s="793">
        <v>100</v>
      </c>
      <c r="F66" s="793">
        <f t="shared" si="1"/>
        <v>2271</v>
      </c>
    </row>
    <row r="67" spans="1:6" s="350" customFormat="1" ht="12">
      <c r="A67" s="411" t="s">
        <v>103</v>
      </c>
      <c r="B67" s="273" t="s">
        <v>424</v>
      </c>
      <c r="C67" s="560">
        <v>2953775</v>
      </c>
      <c r="D67" s="560">
        <v>2956936</v>
      </c>
      <c r="E67" s="560">
        <v>7766</v>
      </c>
      <c r="F67" s="560">
        <f t="shared" si="1"/>
        <v>2964702</v>
      </c>
    </row>
    <row r="68" spans="1:6" s="353" customFormat="1" ht="12">
      <c r="A68" s="795" t="s">
        <v>277</v>
      </c>
      <c r="B68" s="796" t="s">
        <v>269</v>
      </c>
      <c r="C68" s="797">
        <f>SUM(C55:C67)-C65</f>
        <v>10566022</v>
      </c>
      <c r="D68" s="797">
        <f>SUM(D55:D67)-D65</f>
        <v>10622243</v>
      </c>
      <c r="E68" s="797">
        <f>SUM(E55:E67)-E65</f>
        <v>8927</v>
      </c>
      <c r="F68" s="797">
        <f t="shared" si="1"/>
        <v>10631170</v>
      </c>
    </row>
    <row r="69" spans="1:6" s="333" customFormat="1" ht="12.75">
      <c r="A69" s="782" t="s">
        <v>104</v>
      </c>
      <c r="B69" s="762" t="s">
        <v>207</v>
      </c>
      <c r="C69" s="792">
        <v>466479</v>
      </c>
      <c r="D69" s="792">
        <v>544828</v>
      </c>
      <c r="E69" s="792">
        <v>92760</v>
      </c>
      <c r="F69" s="792">
        <f t="shared" si="1"/>
        <v>637588</v>
      </c>
    </row>
    <row r="70" spans="1:6" s="333" customFormat="1" ht="12.75">
      <c r="A70" s="783"/>
      <c r="B70" s="761" t="s">
        <v>639</v>
      </c>
      <c r="C70" s="798">
        <v>0</v>
      </c>
      <c r="D70" s="798">
        <v>0</v>
      </c>
      <c r="E70" s="798">
        <v>0</v>
      </c>
      <c r="F70" s="798">
        <f>SUM(D70:E70)</f>
        <v>0</v>
      </c>
    </row>
    <row r="71" spans="1:6" s="441" customFormat="1" ht="25.5">
      <c r="A71" s="649" t="s">
        <v>283</v>
      </c>
      <c r="B71" s="761" t="s">
        <v>487</v>
      </c>
      <c r="C71" s="793">
        <v>12990</v>
      </c>
      <c r="D71" s="793">
        <v>13990</v>
      </c>
      <c r="E71" s="793">
        <v>0</v>
      </c>
      <c r="F71" s="793">
        <f t="shared" si="1"/>
        <v>13990</v>
      </c>
    </row>
    <row r="72" spans="1:6" s="333" customFormat="1" ht="12">
      <c r="A72" s="357" t="s">
        <v>284</v>
      </c>
      <c r="B72" s="273" t="s">
        <v>366</v>
      </c>
      <c r="C72" s="560">
        <v>886597</v>
      </c>
      <c r="D72" s="560">
        <v>886597</v>
      </c>
      <c r="E72" s="560">
        <v>0</v>
      </c>
      <c r="F72" s="560">
        <f t="shared" si="1"/>
        <v>886597</v>
      </c>
    </row>
    <row r="73" spans="1:6" s="333" customFormat="1" ht="12">
      <c r="A73" s="357" t="s">
        <v>395</v>
      </c>
      <c r="B73" s="273" t="s">
        <v>355</v>
      </c>
      <c r="C73" s="560">
        <v>130554</v>
      </c>
      <c r="D73" s="560">
        <v>198943</v>
      </c>
      <c r="E73" s="560">
        <v>145915</v>
      </c>
      <c r="F73" s="560">
        <f t="shared" si="1"/>
        <v>344858</v>
      </c>
    </row>
    <row r="74" spans="1:6" s="353" customFormat="1" ht="12">
      <c r="A74" s="888" t="s">
        <v>397</v>
      </c>
      <c r="B74" s="275" t="s">
        <v>368</v>
      </c>
      <c r="C74" s="519">
        <f>SUM(C69:C73)-C70</f>
        <v>1496620</v>
      </c>
      <c r="D74" s="519">
        <f>SUM(D69:D73)-D70</f>
        <v>1644358</v>
      </c>
      <c r="E74" s="519">
        <f>SUM(E69:E73)-E70</f>
        <v>238675</v>
      </c>
      <c r="F74" s="519">
        <f t="shared" si="1"/>
        <v>1883033</v>
      </c>
    </row>
    <row r="75" spans="1:6" s="410" customFormat="1" ht="24">
      <c r="A75" s="889" t="s">
        <v>399</v>
      </c>
      <c r="B75" s="367" t="s">
        <v>35</v>
      </c>
      <c r="C75" s="520">
        <v>20925</v>
      </c>
      <c r="D75" s="520">
        <v>20925</v>
      </c>
      <c r="E75" s="520">
        <v>0</v>
      </c>
      <c r="F75" s="520">
        <f t="shared" si="1"/>
        <v>20925</v>
      </c>
    </row>
    <row r="76" spans="1:6" s="410" customFormat="1" ht="12">
      <c r="A76" s="889" t="s">
        <v>401</v>
      </c>
      <c r="B76" s="367" t="s">
        <v>26</v>
      </c>
      <c r="C76" s="520">
        <v>0</v>
      </c>
      <c r="D76" s="520">
        <v>0</v>
      </c>
      <c r="E76" s="520">
        <v>0</v>
      </c>
      <c r="F76" s="519">
        <f t="shared" si="1"/>
        <v>0</v>
      </c>
    </row>
    <row r="77" spans="1:6" s="353" customFormat="1" ht="12" customHeight="1">
      <c r="A77" s="357" t="s">
        <v>402</v>
      </c>
      <c r="B77" s="363" t="s">
        <v>244</v>
      </c>
      <c r="C77" s="560">
        <v>0</v>
      </c>
      <c r="D77" s="560">
        <v>0</v>
      </c>
      <c r="E77" s="560">
        <v>0</v>
      </c>
      <c r="F77" s="560">
        <f t="shared" si="1"/>
        <v>0</v>
      </c>
    </row>
    <row r="78" spans="1:6" s="353" customFormat="1" ht="12">
      <c r="A78" s="357" t="s">
        <v>404</v>
      </c>
      <c r="B78" s="363" t="s">
        <v>245</v>
      </c>
      <c r="C78" s="560">
        <v>0</v>
      </c>
      <c r="D78" s="560">
        <v>0</v>
      </c>
      <c r="E78" s="560">
        <v>545</v>
      </c>
      <c r="F78" s="560">
        <f aca="true" t="shared" si="2" ref="F78:F83">SUM(D78:E78)</f>
        <v>545</v>
      </c>
    </row>
    <row r="79" spans="1:6" s="353" customFormat="1" ht="12">
      <c r="A79" s="357" t="s">
        <v>405</v>
      </c>
      <c r="B79" s="363" t="s">
        <v>225</v>
      </c>
      <c r="C79" s="560">
        <v>0</v>
      </c>
      <c r="D79" s="560">
        <v>0</v>
      </c>
      <c r="E79" s="560">
        <v>0</v>
      </c>
      <c r="F79" s="560">
        <f t="shared" si="2"/>
        <v>0</v>
      </c>
    </row>
    <row r="80" spans="1:6" s="353" customFormat="1" ht="12.75" customHeight="1">
      <c r="A80" s="357"/>
      <c r="B80" s="367" t="s">
        <v>448</v>
      </c>
      <c r="C80" s="562">
        <f>SUM(C77:C79)</f>
        <v>0</v>
      </c>
      <c r="D80" s="562">
        <f>SUM(D77:D79)</f>
        <v>0</v>
      </c>
      <c r="E80" s="562">
        <f>SUM(E77:E79)</f>
        <v>545</v>
      </c>
      <c r="F80" s="560">
        <f t="shared" si="2"/>
        <v>545</v>
      </c>
    </row>
    <row r="81" spans="1:6" s="353" customFormat="1" ht="12">
      <c r="A81" s="357" t="s">
        <v>406</v>
      </c>
      <c r="B81" s="273" t="s">
        <v>36</v>
      </c>
      <c r="C81" s="560">
        <v>0</v>
      </c>
      <c r="D81" s="560">
        <v>12196468</v>
      </c>
      <c r="E81" s="560">
        <v>0</v>
      </c>
      <c r="F81" s="560">
        <f t="shared" si="2"/>
        <v>12196468</v>
      </c>
    </row>
    <row r="82" spans="1:6" s="353" customFormat="1" ht="12" customHeight="1">
      <c r="A82" s="357" t="s">
        <v>409</v>
      </c>
      <c r="B82" s="273" t="s">
        <v>37</v>
      </c>
      <c r="C82" s="560">
        <v>0</v>
      </c>
      <c r="D82" s="560">
        <v>0</v>
      </c>
      <c r="E82" s="560">
        <v>0</v>
      </c>
      <c r="F82" s="560">
        <f t="shared" si="2"/>
        <v>0</v>
      </c>
    </row>
    <row r="83" spans="1:6" s="353" customFormat="1" ht="12.75" customHeight="1">
      <c r="A83" s="361" t="s">
        <v>408</v>
      </c>
      <c r="B83" s="275" t="s">
        <v>495</v>
      </c>
      <c r="C83" s="522">
        <f>SUM(C81:C82)</f>
        <v>0</v>
      </c>
      <c r="D83" s="522">
        <f>SUM(D81:D82)</f>
        <v>12196468</v>
      </c>
      <c r="E83" s="522">
        <f>SUM(E81:E82)</f>
        <v>0</v>
      </c>
      <c r="F83" s="519">
        <f t="shared" si="2"/>
        <v>12196468</v>
      </c>
    </row>
    <row r="84" spans="1:6" s="2" customFormat="1" ht="15" customHeight="1">
      <c r="A84" s="109"/>
      <c r="B84" s="110" t="s">
        <v>496</v>
      </c>
      <c r="C84" s="523">
        <f>SUM(C68,C74,C75,C76,C80,C83)</f>
        <v>12083567</v>
      </c>
      <c r="D84" s="523">
        <f>SUM(D68,D74,D75,D76,D80,D83)</f>
        <v>24483994</v>
      </c>
      <c r="E84" s="523">
        <f>SUM(E68,E74,E75,E76,E80,E83)</f>
        <v>248147</v>
      </c>
      <c r="F84" s="523">
        <f>SUM(D84:E84)</f>
        <v>24732141</v>
      </c>
    </row>
    <row r="85" spans="1:6" s="333" customFormat="1" ht="12" customHeight="1">
      <c r="A85" s="357" t="s">
        <v>409</v>
      </c>
      <c r="B85" s="363" t="s">
        <v>306</v>
      </c>
      <c r="C85" s="560">
        <v>2997261</v>
      </c>
      <c r="D85" s="560">
        <v>3065726</v>
      </c>
      <c r="E85" s="560">
        <v>51243</v>
      </c>
      <c r="F85" s="560">
        <f>SUM(D85:E85)</f>
        <v>3116969</v>
      </c>
    </row>
    <row r="86" spans="1:6" s="333" customFormat="1" ht="12.75" customHeight="1">
      <c r="A86" s="109" t="s">
        <v>291</v>
      </c>
      <c r="B86" s="110" t="s">
        <v>110</v>
      </c>
      <c r="C86" s="560">
        <f>SUM(C85:C85)</f>
        <v>2997261</v>
      </c>
      <c r="D86" s="560">
        <f>SUM(D85:D85)</f>
        <v>3065726</v>
      </c>
      <c r="E86" s="560">
        <f>SUM(E85:E85)</f>
        <v>51243</v>
      </c>
      <c r="F86" s="560">
        <f>SUM(D86:E86)</f>
        <v>3116969</v>
      </c>
    </row>
    <row r="87" spans="1:6" s="2" customFormat="1" ht="12.75" customHeight="1">
      <c r="A87" s="109"/>
      <c r="B87" s="110" t="s">
        <v>113</v>
      </c>
      <c r="C87" s="508">
        <f>SUM(C84,C86)</f>
        <v>15080828</v>
      </c>
      <c r="D87" s="508">
        <f>SUM(D84,D86)</f>
        <v>27549720</v>
      </c>
      <c r="E87" s="508">
        <f>SUM(E84,E86)</f>
        <v>299390</v>
      </c>
      <c r="F87" s="523">
        <f>SUM(D87:E87)</f>
        <v>27849110</v>
      </c>
    </row>
    <row r="88" spans="1:6" s="333" customFormat="1" ht="12" customHeight="1">
      <c r="A88" s="370"/>
      <c r="B88" s="371"/>
      <c r="C88" s="372"/>
      <c r="D88" s="372"/>
      <c r="E88" s="524" t="s">
        <v>259</v>
      </c>
      <c r="F88" s="673"/>
    </row>
  </sheetData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CE,Normál"4.számú melléklet
</oddHeader>
    <oddFooter>&amp;L&amp;"Times New Roman CE,Normál"&amp;8&amp;F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AG805"/>
  <sheetViews>
    <sheetView workbookViewId="0" topLeftCell="A190">
      <selection activeCell="K190" sqref="K1:AS16384"/>
    </sheetView>
  </sheetViews>
  <sheetFormatPr defaultColWidth="9.140625" defaultRowHeight="12.75"/>
  <cols>
    <col min="1" max="1" width="4.140625" style="16" customWidth="1"/>
    <col min="2" max="2" width="2.28125" style="17" customWidth="1"/>
    <col min="3" max="3" width="2.57421875" style="17" customWidth="1"/>
    <col min="4" max="5" width="11.57421875" style="18" hidden="1" customWidth="1"/>
    <col min="6" max="6" width="37.57421875" style="18" customWidth="1"/>
    <col min="7" max="7" width="9.7109375" style="19" customWidth="1"/>
    <col min="8" max="8" width="10.8515625" style="19" customWidth="1"/>
    <col min="9" max="9" width="9.00390625" style="526" customWidth="1"/>
    <col min="10" max="10" width="11.00390625" style="677" customWidth="1"/>
    <col min="11" max="33" width="9.140625" style="22" customWidth="1"/>
    <col min="34" max="16384" width="9.140625" style="15" customWidth="1"/>
  </cols>
  <sheetData>
    <row r="4" spans="1:10" ht="31.5" customHeight="1">
      <c r="A4" s="106" t="s">
        <v>129</v>
      </c>
      <c r="B4" s="12"/>
      <c r="C4" s="11"/>
      <c r="D4" s="13"/>
      <c r="E4" s="13"/>
      <c r="F4" s="13"/>
      <c r="G4" s="14"/>
      <c r="H4" s="14"/>
      <c r="I4" s="525"/>
      <c r="J4" s="675"/>
    </row>
    <row r="5" spans="1:10" ht="16.5" customHeight="1">
      <c r="A5" s="106" t="s">
        <v>602</v>
      </c>
      <c r="B5" s="12"/>
      <c r="C5" s="11"/>
      <c r="D5" s="13"/>
      <c r="E5" s="13"/>
      <c r="F5" s="13"/>
      <c r="G5" s="14"/>
      <c r="H5" s="14"/>
      <c r="I5" s="525"/>
      <c r="J5" s="675"/>
    </row>
    <row r="6" spans="1:10" ht="16.5" customHeight="1">
      <c r="A6" s="106"/>
      <c r="B6" s="12"/>
      <c r="C6" s="11"/>
      <c r="D6" s="13"/>
      <c r="E6" s="13"/>
      <c r="F6" s="13"/>
      <c r="G6" s="14"/>
      <c r="H6" s="14"/>
      <c r="I6" s="525"/>
      <c r="J6" s="675"/>
    </row>
    <row r="7" spans="7:10" ht="18" customHeight="1">
      <c r="G7" s="26"/>
      <c r="H7" s="26"/>
      <c r="I7" s="512"/>
      <c r="J7" s="621" t="s">
        <v>524</v>
      </c>
    </row>
    <row r="8" spans="1:33" s="94" customFormat="1" ht="38.25" customHeight="1">
      <c r="A8" s="284" t="s">
        <v>174</v>
      </c>
      <c r="B8" s="285" t="s">
        <v>525</v>
      </c>
      <c r="C8" s="285"/>
      <c r="D8" s="286" t="s">
        <v>126</v>
      </c>
      <c r="E8" s="286" t="s">
        <v>531</v>
      </c>
      <c r="F8" s="287"/>
      <c r="G8" s="440" t="s">
        <v>50</v>
      </c>
      <c r="H8" s="622" t="s">
        <v>636</v>
      </c>
      <c r="I8" s="541" t="s">
        <v>541</v>
      </c>
      <c r="J8" s="622" t="s">
        <v>679</v>
      </c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</row>
    <row r="9" spans="1:33" s="94" customFormat="1" ht="9.75" customHeight="1">
      <c r="A9" s="331" t="s">
        <v>247</v>
      </c>
      <c r="B9" s="332" t="s">
        <v>248</v>
      </c>
      <c r="C9" s="332"/>
      <c r="D9" s="327" t="s">
        <v>526</v>
      </c>
      <c r="E9" s="327" t="s">
        <v>124</v>
      </c>
      <c r="F9" s="328"/>
      <c r="G9" s="31" t="s">
        <v>249</v>
      </c>
      <c r="H9" s="31" t="s">
        <v>95</v>
      </c>
      <c r="I9" s="31" t="s">
        <v>96</v>
      </c>
      <c r="J9" s="31" t="s">
        <v>97</v>
      </c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</row>
    <row r="10" spans="1:33" s="23" customFormat="1" ht="13.5" customHeight="1">
      <c r="A10" s="257" t="s">
        <v>247</v>
      </c>
      <c r="B10" s="196" t="s">
        <v>532</v>
      </c>
      <c r="C10" s="193"/>
      <c r="D10" s="194">
        <f>SUM(D11:D13)</f>
        <v>45957</v>
      </c>
      <c r="E10" s="194">
        <f>SUM(E11:E13)</f>
        <v>42105</v>
      </c>
      <c r="F10" s="195"/>
      <c r="G10" s="115">
        <f>SUM(G11:G15)</f>
        <v>356486</v>
      </c>
      <c r="H10" s="115">
        <f>SUM(H11:H15)</f>
        <v>696387</v>
      </c>
      <c r="I10" s="115">
        <f>SUM(I11:I15)</f>
        <v>27329</v>
      </c>
      <c r="J10" s="678">
        <f>SUM(H10:I10)</f>
        <v>723716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10" ht="13.5" customHeight="1">
      <c r="A11" s="258"/>
      <c r="B11" s="76"/>
      <c r="C11" s="76" t="s">
        <v>5</v>
      </c>
      <c r="D11" s="77">
        <v>45957</v>
      </c>
      <c r="E11" s="78">
        <v>42105</v>
      </c>
      <c r="F11" s="188"/>
      <c r="G11" s="550">
        <v>248932</v>
      </c>
      <c r="H11" s="550">
        <v>333474</v>
      </c>
      <c r="I11" s="550">
        <v>9587</v>
      </c>
      <c r="J11" s="679">
        <f>SUM(H11:I11)</f>
        <v>343061</v>
      </c>
    </row>
    <row r="12" spans="1:10" ht="13.5" customHeight="1">
      <c r="A12" s="258"/>
      <c r="B12" s="76"/>
      <c r="C12" s="76" t="s">
        <v>79</v>
      </c>
      <c r="D12" s="77"/>
      <c r="E12" s="78"/>
      <c r="F12" s="188"/>
      <c r="G12" s="550">
        <v>85754</v>
      </c>
      <c r="H12" s="550">
        <v>98766</v>
      </c>
      <c r="I12" s="550">
        <v>-9587</v>
      </c>
      <c r="J12" s="679">
        <f aca="true" t="shared" si="0" ref="J12:J76">SUM(H12:I12)</f>
        <v>89179</v>
      </c>
    </row>
    <row r="13" spans="1:10" ht="13.5" customHeight="1">
      <c r="A13" s="258"/>
      <c r="B13" s="79"/>
      <c r="C13" s="79" t="s">
        <v>65</v>
      </c>
      <c r="D13" s="77">
        <v>0</v>
      </c>
      <c r="E13" s="78"/>
      <c r="F13" s="188"/>
      <c r="G13" s="550">
        <v>10000</v>
      </c>
      <c r="H13" s="550">
        <v>62317</v>
      </c>
      <c r="I13" s="550">
        <v>176079</v>
      </c>
      <c r="J13" s="679">
        <f t="shared" si="0"/>
        <v>238396</v>
      </c>
    </row>
    <row r="14" spans="1:10" ht="13.5" customHeight="1">
      <c r="A14" s="258"/>
      <c r="B14" s="79"/>
      <c r="C14" s="79" t="s">
        <v>7</v>
      </c>
      <c r="D14" s="77"/>
      <c r="E14" s="78"/>
      <c r="F14" s="188"/>
      <c r="G14" s="550">
        <v>0</v>
      </c>
      <c r="H14" s="550">
        <v>0</v>
      </c>
      <c r="I14" s="550">
        <v>0</v>
      </c>
      <c r="J14" s="679">
        <f t="shared" si="0"/>
        <v>0</v>
      </c>
    </row>
    <row r="15" spans="1:10" ht="13.5" customHeight="1">
      <c r="A15" s="258"/>
      <c r="B15" s="79"/>
      <c r="C15" s="79" t="s">
        <v>67</v>
      </c>
      <c r="D15" s="77"/>
      <c r="E15" s="78"/>
      <c r="F15" s="188"/>
      <c r="G15" s="428">
        <v>11800</v>
      </c>
      <c r="H15" s="428">
        <v>201830</v>
      </c>
      <c r="I15" s="428">
        <v>-148750</v>
      </c>
      <c r="J15" s="679">
        <f t="shared" si="0"/>
        <v>53080</v>
      </c>
    </row>
    <row r="16" spans="1:33" s="23" customFormat="1" ht="13.5" customHeight="1">
      <c r="A16" s="257" t="s">
        <v>248</v>
      </c>
      <c r="B16" s="196" t="s">
        <v>296</v>
      </c>
      <c r="C16" s="193"/>
      <c r="D16" s="194">
        <f>SUM(D18:D21)</f>
        <v>0</v>
      </c>
      <c r="E16" s="194">
        <f>SUM(E18:E21)</f>
        <v>0</v>
      </c>
      <c r="F16" s="195"/>
      <c r="G16" s="115">
        <f>SUM(G17:G19)</f>
        <v>0</v>
      </c>
      <c r="H16" s="115">
        <f>SUM(H17:H19)</f>
        <v>440648</v>
      </c>
      <c r="I16" s="115">
        <f>SUM(I17:I19)</f>
        <v>480030</v>
      </c>
      <c r="J16" s="678">
        <f t="shared" si="0"/>
        <v>920678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s="23" customFormat="1" ht="13.5" customHeight="1">
      <c r="A17" s="257"/>
      <c r="B17" s="196"/>
      <c r="C17" s="76" t="s">
        <v>5</v>
      </c>
      <c r="D17" s="194"/>
      <c r="E17" s="194"/>
      <c r="F17" s="195"/>
      <c r="G17" s="428">
        <v>0</v>
      </c>
      <c r="H17" s="428">
        <v>274</v>
      </c>
      <c r="I17" s="428">
        <v>0</v>
      </c>
      <c r="J17" s="679">
        <f t="shared" si="0"/>
        <v>274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10" ht="13.5" customHeight="1">
      <c r="A18" s="258"/>
      <c r="B18" s="79"/>
      <c r="C18" s="79" t="s">
        <v>67</v>
      </c>
      <c r="D18" s="77"/>
      <c r="E18" s="78"/>
      <c r="F18" s="188"/>
      <c r="G18" s="428">
        <v>0</v>
      </c>
      <c r="H18" s="428">
        <v>416991</v>
      </c>
      <c r="I18" s="428">
        <v>480030</v>
      </c>
      <c r="J18" s="679">
        <f t="shared" si="0"/>
        <v>897021</v>
      </c>
    </row>
    <row r="19" spans="1:10" ht="13.5" customHeight="1">
      <c r="A19" s="258"/>
      <c r="B19" s="79"/>
      <c r="C19" s="216" t="s">
        <v>80</v>
      </c>
      <c r="D19" s="77"/>
      <c r="E19" s="78"/>
      <c r="F19" s="188"/>
      <c r="G19" s="428">
        <v>0</v>
      </c>
      <c r="H19" s="428">
        <v>23383</v>
      </c>
      <c r="I19" s="428">
        <v>0</v>
      </c>
      <c r="J19" s="679">
        <f t="shared" si="0"/>
        <v>23383</v>
      </c>
    </row>
    <row r="20" spans="1:33" s="23" customFormat="1" ht="13.5" customHeight="1">
      <c r="A20" s="257" t="s">
        <v>249</v>
      </c>
      <c r="B20" s="87" t="s">
        <v>64</v>
      </c>
      <c r="C20" s="83"/>
      <c r="D20" s="84"/>
      <c r="E20" s="84"/>
      <c r="F20" s="189"/>
      <c r="G20" s="116">
        <f>SUM(G21:G22)</f>
        <v>129326</v>
      </c>
      <c r="H20" s="116">
        <f>SUM(H21:H22)</f>
        <v>1041869</v>
      </c>
      <c r="I20" s="116">
        <f>SUM(I21:I22)</f>
        <v>139694</v>
      </c>
      <c r="J20" s="678">
        <f t="shared" si="0"/>
        <v>1181563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10" ht="13.5" customHeight="1">
      <c r="A21" s="258"/>
      <c r="B21" s="76"/>
      <c r="C21" s="76" t="s">
        <v>66</v>
      </c>
      <c r="D21" s="80"/>
      <c r="E21" s="80"/>
      <c r="F21" s="81"/>
      <c r="G21" s="550">
        <v>0</v>
      </c>
      <c r="H21" s="550">
        <v>0</v>
      </c>
      <c r="I21" s="550">
        <v>349858</v>
      </c>
      <c r="J21" s="679">
        <f t="shared" si="0"/>
        <v>349858</v>
      </c>
    </row>
    <row r="22" spans="1:10" ht="13.5" customHeight="1">
      <c r="A22" s="258"/>
      <c r="B22" s="76"/>
      <c r="C22" s="76" t="s">
        <v>67</v>
      </c>
      <c r="D22" s="80"/>
      <c r="E22" s="80"/>
      <c r="F22" s="81"/>
      <c r="G22" s="550">
        <v>129326</v>
      </c>
      <c r="H22" s="550">
        <v>1041869</v>
      </c>
      <c r="I22" s="550">
        <v>-210164</v>
      </c>
      <c r="J22" s="679">
        <f t="shared" si="0"/>
        <v>831705</v>
      </c>
    </row>
    <row r="23" spans="1:33" s="23" customFormat="1" ht="13.5" customHeight="1">
      <c r="A23" s="257" t="s">
        <v>95</v>
      </c>
      <c r="B23" s="87" t="s">
        <v>175</v>
      </c>
      <c r="C23" s="72"/>
      <c r="D23" s="73">
        <f>SUM(D24:D24)</f>
        <v>62700</v>
      </c>
      <c r="E23" s="73">
        <f>SUM(E24:E24)</f>
        <v>42800</v>
      </c>
      <c r="F23" s="74"/>
      <c r="G23" s="115">
        <f>SUM(G24)</f>
        <v>360000</v>
      </c>
      <c r="H23" s="115">
        <f>SUM(H24)</f>
        <v>396999</v>
      </c>
      <c r="I23" s="115">
        <f>SUM(I24)</f>
        <v>0</v>
      </c>
      <c r="J23" s="678">
        <f t="shared" si="0"/>
        <v>396999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10" ht="13.5" customHeight="1">
      <c r="A24" s="258"/>
      <c r="B24" s="76"/>
      <c r="C24" s="76" t="s">
        <v>5</v>
      </c>
      <c r="D24" s="77">
        <v>62700</v>
      </c>
      <c r="E24" s="78">
        <v>42800</v>
      </c>
      <c r="F24" s="188"/>
      <c r="G24" s="550">
        <v>360000</v>
      </c>
      <c r="H24" s="550">
        <v>396999</v>
      </c>
      <c r="I24" s="550">
        <v>0</v>
      </c>
      <c r="J24" s="679">
        <f t="shared" si="0"/>
        <v>396999</v>
      </c>
    </row>
    <row r="25" spans="1:33" s="23" customFormat="1" ht="13.5" customHeight="1">
      <c r="A25" s="257" t="s">
        <v>96</v>
      </c>
      <c r="B25" s="197" t="s">
        <v>533</v>
      </c>
      <c r="C25" s="198"/>
      <c r="D25" s="199" t="e">
        <f>SUM(D26:D33)-D27</f>
        <v>#REF!</v>
      </c>
      <c r="E25" s="199" t="e">
        <f>SUM(E26:E33)-E27</f>
        <v>#REF!</v>
      </c>
      <c r="F25" s="200"/>
      <c r="G25" s="116">
        <f>SUM(G32:G33,G27,G26)</f>
        <v>10814</v>
      </c>
      <c r="H25" s="116">
        <f>SUM(H32:H33,H27,H26)</f>
        <v>11318</v>
      </c>
      <c r="I25" s="116">
        <f>SUM(I32:I33,I27,I26)</f>
        <v>0</v>
      </c>
      <c r="J25" s="678">
        <f t="shared" si="0"/>
        <v>11318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10" ht="13.5" customHeight="1">
      <c r="A26" s="258"/>
      <c r="B26" s="205"/>
      <c r="C26" s="206" t="s">
        <v>3</v>
      </c>
      <c r="D26" s="207">
        <v>1388</v>
      </c>
      <c r="E26" s="208">
        <v>1419</v>
      </c>
      <c r="F26" s="209"/>
      <c r="G26" s="550">
        <v>4604</v>
      </c>
      <c r="H26" s="550">
        <v>4926</v>
      </c>
      <c r="I26" s="550">
        <v>0</v>
      </c>
      <c r="J26" s="679">
        <f t="shared" si="0"/>
        <v>4926</v>
      </c>
    </row>
    <row r="27" spans="1:10" ht="13.5" customHeight="1">
      <c r="A27" s="258"/>
      <c r="B27" s="205"/>
      <c r="C27" s="206" t="s">
        <v>4</v>
      </c>
      <c r="D27" s="207" t="e">
        <f>SUM(#REF!)</f>
        <v>#REF!</v>
      </c>
      <c r="E27" s="207" t="e">
        <f>SUM(#REF!)</f>
        <v>#REF!</v>
      </c>
      <c r="F27" s="211"/>
      <c r="G27" s="551">
        <f>SUM(G28:G31)</f>
        <v>1353</v>
      </c>
      <c r="H27" s="551">
        <f>SUM(H28:H31)</f>
        <v>1454</v>
      </c>
      <c r="I27" s="551">
        <f>SUM(I28:I31)</f>
        <v>0</v>
      </c>
      <c r="J27" s="679">
        <f t="shared" si="0"/>
        <v>1454</v>
      </c>
    </row>
    <row r="28" spans="1:10" ht="13.5" customHeight="1">
      <c r="A28" s="258"/>
      <c r="B28" s="205"/>
      <c r="C28" s="206"/>
      <c r="D28" s="207"/>
      <c r="E28" s="207"/>
      <c r="F28" s="458" t="s">
        <v>375</v>
      </c>
      <c r="G28" s="551">
        <v>1170</v>
      </c>
      <c r="H28" s="551">
        <v>1261</v>
      </c>
      <c r="I28" s="551">
        <v>0</v>
      </c>
      <c r="J28" s="679">
        <f t="shared" si="0"/>
        <v>1261</v>
      </c>
    </row>
    <row r="29" spans="1:10" ht="13.5" customHeight="1">
      <c r="A29" s="258"/>
      <c r="B29" s="205"/>
      <c r="C29" s="206"/>
      <c r="D29" s="207"/>
      <c r="E29" s="207"/>
      <c r="F29" s="458" t="s">
        <v>212</v>
      </c>
      <c r="G29" s="551">
        <v>98</v>
      </c>
      <c r="H29" s="551">
        <v>106</v>
      </c>
      <c r="I29" s="551">
        <v>0</v>
      </c>
      <c r="J29" s="679">
        <f t="shared" si="0"/>
        <v>106</v>
      </c>
    </row>
    <row r="30" spans="1:10" ht="13.5" customHeight="1">
      <c r="A30" s="258"/>
      <c r="B30" s="205"/>
      <c r="C30" s="206"/>
      <c r="D30" s="207"/>
      <c r="E30" s="207"/>
      <c r="F30" s="458" t="s">
        <v>213</v>
      </c>
      <c r="G30" s="551">
        <v>65</v>
      </c>
      <c r="H30" s="551">
        <v>67</v>
      </c>
      <c r="I30" s="551">
        <v>0</v>
      </c>
      <c r="J30" s="679">
        <f t="shared" si="0"/>
        <v>67</v>
      </c>
    </row>
    <row r="31" spans="1:10" ht="13.5" customHeight="1">
      <c r="A31" s="258"/>
      <c r="B31" s="205"/>
      <c r="C31" s="206"/>
      <c r="D31" s="207"/>
      <c r="E31" s="207"/>
      <c r="F31" s="458" t="s">
        <v>374</v>
      </c>
      <c r="G31" s="551">
        <v>20</v>
      </c>
      <c r="H31" s="551">
        <v>20</v>
      </c>
      <c r="I31" s="551">
        <v>0</v>
      </c>
      <c r="J31" s="679">
        <f t="shared" si="0"/>
        <v>20</v>
      </c>
    </row>
    <row r="32" spans="1:10" ht="13.5" customHeight="1">
      <c r="A32" s="258"/>
      <c r="B32" s="205"/>
      <c r="C32" s="206" t="s">
        <v>5</v>
      </c>
      <c r="D32" s="207">
        <v>2125</v>
      </c>
      <c r="E32" s="208">
        <v>1738</v>
      </c>
      <c r="F32" s="209"/>
      <c r="G32" s="550">
        <v>4605</v>
      </c>
      <c r="H32" s="550">
        <v>4686</v>
      </c>
      <c r="I32" s="550">
        <v>0</v>
      </c>
      <c r="J32" s="679">
        <f t="shared" si="0"/>
        <v>4686</v>
      </c>
    </row>
    <row r="33" spans="1:10" ht="13.5" customHeight="1">
      <c r="A33" s="258"/>
      <c r="B33" s="212"/>
      <c r="C33" s="79" t="s">
        <v>183</v>
      </c>
      <c r="D33" s="213">
        <v>450</v>
      </c>
      <c r="E33" s="214">
        <v>431</v>
      </c>
      <c r="F33" s="215"/>
      <c r="G33" s="550">
        <v>252</v>
      </c>
      <c r="H33" s="550">
        <v>252</v>
      </c>
      <c r="I33" s="550">
        <v>0</v>
      </c>
      <c r="J33" s="679">
        <f t="shared" si="0"/>
        <v>252</v>
      </c>
    </row>
    <row r="34" spans="1:33" s="23" customFormat="1" ht="13.5" customHeight="1">
      <c r="A34" s="257" t="s">
        <v>97</v>
      </c>
      <c r="B34" s="196" t="s">
        <v>176</v>
      </c>
      <c r="C34" s="193"/>
      <c r="D34" s="194">
        <f>SUM(D36:D36)</f>
        <v>10228</v>
      </c>
      <c r="E34" s="194">
        <f>SUM(E36:E36)</f>
        <v>4176</v>
      </c>
      <c r="F34" s="195"/>
      <c r="G34" s="115">
        <f>SUM(G35:G37)</f>
        <v>36378</v>
      </c>
      <c r="H34" s="115">
        <f>SUM(H35:H37)</f>
        <v>80853</v>
      </c>
      <c r="I34" s="115">
        <f>SUM(I35:I37)</f>
        <v>17940</v>
      </c>
      <c r="J34" s="678">
        <f t="shared" si="0"/>
        <v>98793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1:33" s="23" customFormat="1" ht="13.5" customHeight="1">
      <c r="A35" s="257"/>
      <c r="B35" s="76"/>
      <c r="C35" s="76" t="s">
        <v>5</v>
      </c>
      <c r="D35" s="73"/>
      <c r="E35" s="73"/>
      <c r="F35" s="74"/>
      <c r="G35" s="550">
        <v>22378</v>
      </c>
      <c r="H35" s="550">
        <v>23335</v>
      </c>
      <c r="I35" s="550">
        <v>0</v>
      </c>
      <c r="J35" s="679">
        <f t="shared" si="0"/>
        <v>23335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3" s="20" customFormat="1" ht="13.5" customHeight="1">
      <c r="A36" s="259"/>
      <c r="B36" s="216"/>
      <c r="C36" s="216" t="s">
        <v>80</v>
      </c>
      <c r="D36" s="217">
        <v>10228</v>
      </c>
      <c r="E36" s="218">
        <v>4176</v>
      </c>
      <c r="F36" s="219"/>
      <c r="G36" s="550">
        <v>11000</v>
      </c>
      <c r="H36" s="550">
        <v>54518</v>
      </c>
      <c r="I36" s="550">
        <v>-6418</v>
      </c>
      <c r="J36" s="679">
        <f t="shared" si="0"/>
        <v>48100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20" customFormat="1" ht="13.5" customHeight="1">
      <c r="A37" s="259"/>
      <c r="B37" s="223"/>
      <c r="C37" s="99" t="s">
        <v>67</v>
      </c>
      <c r="D37" s="213"/>
      <c r="E37" s="214"/>
      <c r="F37" s="215"/>
      <c r="G37" s="550">
        <v>3000</v>
      </c>
      <c r="H37" s="550">
        <v>3000</v>
      </c>
      <c r="I37" s="550">
        <v>24358</v>
      </c>
      <c r="J37" s="679">
        <f t="shared" si="0"/>
        <v>27358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3" customFormat="1" ht="13.5" customHeight="1">
      <c r="A38" s="257" t="s">
        <v>98</v>
      </c>
      <c r="B38" s="196" t="s">
        <v>115</v>
      </c>
      <c r="C38" s="220"/>
      <c r="D38" s="221">
        <f>SUM(D39:D39)</f>
        <v>25000</v>
      </c>
      <c r="E38" s="221">
        <f>SUM(E39:E39)</f>
        <v>30519</v>
      </c>
      <c r="F38" s="222"/>
      <c r="G38" s="116">
        <f>SUM(G39:G42)</f>
        <v>24600</v>
      </c>
      <c r="H38" s="116">
        <f>SUM(H39:H42)</f>
        <v>83460</v>
      </c>
      <c r="I38" s="116">
        <f>SUM(I39:I42)</f>
        <v>50125</v>
      </c>
      <c r="J38" s="678">
        <f t="shared" si="0"/>
        <v>133585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1:10" ht="13.5" customHeight="1">
      <c r="A39" s="258"/>
      <c r="B39" s="76"/>
      <c r="C39" s="76" t="s">
        <v>5</v>
      </c>
      <c r="D39" s="80">
        <v>25000</v>
      </c>
      <c r="E39" s="85">
        <v>30519</v>
      </c>
      <c r="F39" s="190"/>
      <c r="G39" s="550">
        <v>10000</v>
      </c>
      <c r="H39" s="550">
        <v>16647</v>
      </c>
      <c r="I39" s="550">
        <v>10625</v>
      </c>
      <c r="J39" s="679">
        <f t="shared" si="0"/>
        <v>27272</v>
      </c>
    </row>
    <row r="40" spans="1:10" ht="13.5" customHeight="1">
      <c r="A40" s="258"/>
      <c r="B40" s="79"/>
      <c r="C40" s="79" t="s">
        <v>536</v>
      </c>
      <c r="D40" s="80"/>
      <c r="E40" s="85"/>
      <c r="F40" s="190"/>
      <c r="G40" s="550">
        <v>0</v>
      </c>
      <c r="H40" s="550">
        <v>0</v>
      </c>
      <c r="I40" s="550">
        <v>0</v>
      </c>
      <c r="J40" s="679">
        <f t="shared" si="0"/>
        <v>0</v>
      </c>
    </row>
    <row r="41" spans="1:10" ht="13.5" customHeight="1">
      <c r="A41" s="258"/>
      <c r="B41" s="79"/>
      <c r="C41" s="216" t="s">
        <v>80</v>
      </c>
      <c r="D41" s="80"/>
      <c r="E41" s="85"/>
      <c r="F41" s="190"/>
      <c r="G41" s="550">
        <v>0</v>
      </c>
      <c r="H41" s="550">
        <v>0</v>
      </c>
      <c r="I41" s="550">
        <v>0</v>
      </c>
      <c r="J41" s="679">
        <f t="shared" si="0"/>
        <v>0</v>
      </c>
    </row>
    <row r="42" spans="1:10" ht="13.5" customHeight="1">
      <c r="A42" s="258"/>
      <c r="B42" s="79"/>
      <c r="C42" s="79" t="s">
        <v>67</v>
      </c>
      <c r="D42" s="80"/>
      <c r="E42" s="85"/>
      <c r="F42" s="190"/>
      <c r="G42" s="550">
        <v>14600</v>
      </c>
      <c r="H42" s="550">
        <v>66813</v>
      </c>
      <c r="I42" s="550">
        <v>39500</v>
      </c>
      <c r="J42" s="679">
        <f t="shared" si="0"/>
        <v>106313</v>
      </c>
    </row>
    <row r="43" spans="1:33" s="23" customFormat="1" ht="13.5" customHeight="1">
      <c r="A43" s="257" t="s">
        <v>99</v>
      </c>
      <c r="B43" s="87" t="s">
        <v>534</v>
      </c>
      <c r="C43" s="72"/>
      <c r="D43" s="73" t="e">
        <f>SUM(D44:D50)-D45</f>
        <v>#REF!</v>
      </c>
      <c r="E43" s="73" t="e">
        <f>SUM(E44:E50)-E45</f>
        <v>#REF!</v>
      </c>
      <c r="F43" s="74"/>
      <c r="G43" s="115">
        <f>SUM(G50,G45,G44,G51)</f>
        <v>5211</v>
      </c>
      <c r="H43" s="115">
        <f>SUM(H50,H45,H44,H51)</f>
        <v>5501</v>
      </c>
      <c r="I43" s="115">
        <f>SUM(I50,I45,I44,I51)</f>
        <v>0</v>
      </c>
      <c r="J43" s="678">
        <f t="shared" si="0"/>
        <v>5501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</row>
    <row r="44" spans="1:10" ht="13.5" customHeight="1">
      <c r="A44" s="258"/>
      <c r="B44" s="76"/>
      <c r="C44" s="76" t="s">
        <v>3</v>
      </c>
      <c r="D44" s="77">
        <v>1535</v>
      </c>
      <c r="E44" s="78">
        <v>1125</v>
      </c>
      <c r="F44" s="188"/>
      <c r="G44" s="550">
        <v>3667</v>
      </c>
      <c r="H44" s="550">
        <v>3871</v>
      </c>
      <c r="I44" s="550">
        <v>0</v>
      </c>
      <c r="J44" s="679">
        <f t="shared" si="0"/>
        <v>3871</v>
      </c>
    </row>
    <row r="45" spans="1:10" ht="13.5" customHeight="1">
      <c r="A45" s="258"/>
      <c r="B45" s="201"/>
      <c r="C45" s="76" t="s">
        <v>4</v>
      </c>
      <c r="D45" s="202" t="e">
        <f>SUM(#REF!)</f>
        <v>#REF!</v>
      </c>
      <c r="E45" s="202" t="e">
        <f>SUM(#REF!)</f>
        <v>#REF!</v>
      </c>
      <c r="F45" s="210"/>
      <c r="G45" s="552">
        <f>SUM(G46:G49)</f>
        <v>1119</v>
      </c>
      <c r="H45" s="552">
        <f>SUM(H46:H49)</f>
        <v>1182</v>
      </c>
      <c r="I45" s="552">
        <f>SUM(I46:I49)</f>
        <v>0</v>
      </c>
      <c r="J45" s="679">
        <f t="shared" si="0"/>
        <v>1182</v>
      </c>
    </row>
    <row r="46" spans="1:10" ht="13.5" customHeight="1">
      <c r="A46" s="258"/>
      <c r="B46" s="201"/>
      <c r="C46" s="76"/>
      <c r="D46" s="202"/>
      <c r="E46" s="202"/>
      <c r="F46" s="458" t="s">
        <v>375</v>
      </c>
      <c r="G46" s="552">
        <v>967</v>
      </c>
      <c r="H46" s="552">
        <v>1025</v>
      </c>
      <c r="I46" s="552">
        <v>0</v>
      </c>
      <c r="J46" s="679">
        <f t="shared" si="0"/>
        <v>1025</v>
      </c>
    </row>
    <row r="47" spans="1:10" ht="13.5" customHeight="1">
      <c r="A47" s="258"/>
      <c r="B47" s="201"/>
      <c r="C47" s="76"/>
      <c r="D47" s="202"/>
      <c r="E47" s="202"/>
      <c r="F47" s="458" t="s">
        <v>212</v>
      </c>
      <c r="G47" s="552">
        <v>80</v>
      </c>
      <c r="H47" s="552">
        <v>85</v>
      </c>
      <c r="I47" s="552">
        <v>0</v>
      </c>
      <c r="J47" s="679">
        <f t="shared" si="0"/>
        <v>85</v>
      </c>
    </row>
    <row r="48" spans="1:10" ht="13.5" customHeight="1">
      <c r="A48" s="258"/>
      <c r="B48" s="201"/>
      <c r="C48" s="76"/>
      <c r="D48" s="202"/>
      <c r="E48" s="202"/>
      <c r="F48" s="458" t="s">
        <v>213</v>
      </c>
      <c r="G48" s="552">
        <v>47</v>
      </c>
      <c r="H48" s="552">
        <v>47</v>
      </c>
      <c r="I48" s="552">
        <v>0</v>
      </c>
      <c r="J48" s="679">
        <f t="shared" si="0"/>
        <v>47</v>
      </c>
    </row>
    <row r="49" spans="1:10" ht="13.5" customHeight="1">
      <c r="A49" s="258"/>
      <c r="B49" s="201"/>
      <c r="C49" s="76"/>
      <c r="D49" s="202"/>
      <c r="E49" s="202"/>
      <c r="F49" s="458" t="s">
        <v>374</v>
      </c>
      <c r="G49" s="552">
        <v>25</v>
      </c>
      <c r="H49" s="552">
        <v>25</v>
      </c>
      <c r="I49" s="552">
        <v>0</v>
      </c>
      <c r="J49" s="679">
        <f t="shared" si="0"/>
        <v>25</v>
      </c>
    </row>
    <row r="50" spans="1:10" ht="13.5" customHeight="1">
      <c r="A50" s="258"/>
      <c r="B50" s="201"/>
      <c r="C50" s="76" t="s">
        <v>5</v>
      </c>
      <c r="D50" s="202">
        <v>184</v>
      </c>
      <c r="E50" s="203">
        <v>55</v>
      </c>
      <c r="F50" s="204"/>
      <c r="G50" s="550">
        <v>425</v>
      </c>
      <c r="H50" s="550">
        <v>448</v>
      </c>
      <c r="I50" s="550">
        <v>0</v>
      </c>
      <c r="J50" s="679">
        <f t="shared" si="0"/>
        <v>448</v>
      </c>
    </row>
    <row r="51" spans="1:10" ht="13.5" customHeight="1">
      <c r="A51" s="258"/>
      <c r="B51" s="201"/>
      <c r="C51" s="79" t="s">
        <v>183</v>
      </c>
      <c r="D51" s="202"/>
      <c r="E51" s="203"/>
      <c r="F51" s="204"/>
      <c r="G51" s="550">
        <v>0</v>
      </c>
      <c r="H51" s="550">
        <v>0</v>
      </c>
      <c r="I51" s="550">
        <v>0</v>
      </c>
      <c r="J51" s="679">
        <f t="shared" si="0"/>
        <v>0</v>
      </c>
    </row>
    <row r="52" spans="1:10" ht="13.5" customHeight="1">
      <c r="A52" s="867"/>
      <c r="B52" s="868"/>
      <c r="C52" s="869"/>
      <c r="D52" s="870"/>
      <c r="E52" s="871"/>
      <c r="F52" s="871"/>
      <c r="G52" s="872"/>
      <c r="H52" s="872"/>
      <c r="I52" s="872"/>
      <c r="J52" s="873"/>
    </row>
    <row r="53" spans="1:33" s="105" customFormat="1" ht="13.5" customHeight="1">
      <c r="A53" s="257" t="s">
        <v>100</v>
      </c>
      <c r="B53" s="71" t="s">
        <v>56</v>
      </c>
      <c r="C53" s="82"/>
      <c r="D53" s="224"/>
      <c r="E53" s="225"/>
      <c r="F53" s="226"/>
      <c r="G53" s="874">
        <f>SUM(G54:G59)</f>
        <v>806858</v>
      </c>
      <c r="H53" s="874">
        <f>SUM(H54:H59)</f>
        <v>924887</v>
      </c>
      <c r="I53" s="874">
        <f>SUM(I54:I59)</f>
        <v>0</v>
      </c>
      <c r="J53" s="678">
        <f t="shared" si="0"/>
        <v>924887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</row>
    <row r="54" spans="1:33" s="16" customFormat="1" ht="13.5" customHeight="1">
      <c r="A54" s="258"/>
      <c r="B54" s="201"/>
      <c r="C54" s="206" t="s">
        <v>5</v>
      </c>
      <c r="D54" s="202"/>
      <c r="E54" s="203"/>
      <c r="F54" s="204"/>
      <c r="G54" s="550">
        <v>702427</v>
      </c>
      <c r="H54" s="550">
        <v>727188</v>
      </c>
      <c r="I54" s="550">
        <v>0</v>
      </c>
      <c r="J54" s="679">
        <f t="shared" si="0"/>
        <v>727188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s="16" customFormat="1" ht="13.5" customHeight="1">
      <c r="A55" s="258"/>
      <c r="B55" s="201"/>
      <c r="C55" s="76" t="s">
        <v>411</v>
      </c>
      <c r="D55" s="202"/>
      <c r="E55" s="203"/>
      <c r="F55" s="204"/>
      <c r="G55" s="550">
        <v>51500</v>
      </c>
      <c r="H55" s="550">
        <v>71566</v>
      </c>
      <c r="I55" s="550">
        <v>0</v>
      </c>
      <c r="J55" s="679">
        <f t="shared" si="0"/>
        <v>71566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s="16" customFormat="1" ht="13.5" customHeight="1">
      <c r="A56" s="258"/>
      <c r="B56" s="201"/>
      <c r="C56" s="277" t="s">
        <v>67</v>
      </c>
      <c r="D56" s="202"/>
      <c r="E56" s="203"/>
      <c r="F56" s="204"/>
      <c r="G56" s="550">
        <v>0</v>
      </c>
      <c r="H56" s="550">
        <v>3600</v>
      </c>
      <c r="I56" s="550">
        <v>0</v>
      </c>
      <c r="J56" s="679">
        <f t="shared" si="0"/>
        <v>3600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s="16" customFormat="1" ht="13.5" customHeight="1">
      <c r="A57" s="258"/>
      <c r="B57" s="201"/>
      <c r="C57" s="76" t="s">
        <v>468</v>
      </c>
      <c r="D57" s="202"/>
      <c r="E57" s="203"/>
      <c r="F57" s="204"/>
      <c r="G57" s="550">
        <v>6000</v>
      </c>
      <c r="H57" s="550">
        <v>6000</v>
      </c>
      <c r="I57" s="550">
        <v>0</v>
      </c>
      <c r="J57" s="679">
        <f t="shared" si="0"/>
        <v>6000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s="16" customFormat="1" ht="13.5" customHeight="1">
      <c r="A58" s="258"/>
      <c r="B58" s="201"/>
      <c r="C58" s="76" t="s">
        <v>238</v>
      </c>
      <c r="D58" s="202"/>
      <c r="E58" s="203"/>
      <c r="F58" s="204"/>
      <c r="G58" s="550">
        <v>46931</v>
      </c>
      <c r="H58" s="550">
        <v>116533</v>
      </c>
      <c r="I58" s="550">
        <v>0</v>
      </c>
      <c r="J58" s="679">
        <f t="shared" si="0"/>
        <v>116533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s="16" customFormat="1" ht="14.25" customHeight="1">
      <c r="A59" s="258"/>
      <c r="B59" s="201"/>
      <c r="C59" s="76" t="s">
        <v>239</v>
      </c>
      <c r="D59" s="202"/>
      <c r="E59" s="203"/>
      <c r="F59" s="204"/>
      <c r="G59" s="550">
        <v>0</v>
      </c>
      <c r="H59" s="550">
        <v>0</v>
      </c>
      <c r="I59" s="550">
        <v>0</v>
      </c>
      <c r="J59" s="679">
        <f t="shared" si="0"/>
        <v>0</v>
      </c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</row>
    <row r="60" spans="1:33" s="23" customFormat="1" ht="13.5" customHeight="1">
      <c r="A60" s="257" t="s">
        <v>101</v>
      </c>
      <c r="B60" s="87" t="s">
        <v>505</v>
      </c>
      <c r="C60" s="83"/>
      <c r="D60" s="89" t="e">
        <f>SUM(D62:D70)-D65-#REF!-#REF!-#REF!</f>
        <v>#REF!</v>
      </c>
      <c r="E60" s="89" t="e">
        <f>SUM(E62:E70)-E65-#REF!-#REF!-#REF!</f>
        <v>#REF!</v>
      </c>
      <c r="F60" s="90"/>
      <c r="G60" s="163">
        <f>SUM(G61,G62:G65,G68,G71:G73)</f>
        <v>215700</v>
      </c>
      <c r="H60" s="163">
        <f>SUM(H61,H62:H65,H68,H71:H73)</f>
        <v>215700</v>
      </c>
      <c r="I60" s="163">
        <f>SUM(I61,I62:I65,I68,I71:I73)</f>
        <v>0</v>
      </c>
      <c r="J60" s="678">
        <f t="shared" si="0"/>
        <v>215700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33" ht="13.5" customHeight="1">
      <c r="A61" s="258"/>
      <c r="B61" s="86"/>
      <c r="C61" s="467" t="s">
        <v>62</v>
      </c>
      <c r="D61" s="93"/>
      <c r="E61" s="93"/>
      <c r="F61" s="95"/>
      <c r="G61" s="553">
        <v>500</v>
      </c>
      <c r="H61" s="553">
        <v>500</v>
      </c>
      <c r="I61" s="553">
        <v>0</v>
      </c>
      <c r="J61" s="679">
        <f t="shared" si="0"/>
        <v>500</v>
      </c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</row>
    <row r="62" spans="1:10" ht="13.5" customHeight="1">
      <c r="A62" s="258"/>
      <c r="B62" s="76"/>
      <c r="C62" s="76" t="s">
        <v>177</v>
      </c>
      <c r="D62" s="91">
        <v>17000</v>
      </c>
      <c r="E62" s="92">
        <v>6270</v>
      </c>
      <c r="F62" s="191"/>
      <c r="G62" s="550">
        <v>10000</v>
      </c>
      <c r="H62" s="550">
        <v>10000</v>
      </c>
      <c r="I62" s="550">
        <v>0</v>
      </c>
      <c r="J62" s="679">
        <f t="shared" si="0"/>
        <v>10000</v>
      </c>
    </row>
    <row r="63" spans="1:10" ht="13.5" customHeight="1">
      <c r="A63" s="258"/>
      <c r="B63" s="76"/>
      <c r="C63" s="76" t="s">
        <v>370</v>
      </c>
      <c r="D63" s="91"/>
      <c r="E63" s="92"/>
      <c r="F63" s="191"/>
      <c r="G63" s="550">
        <v>36200</v>
      </c>
      <c r="H63" s="550">
        <v>36200</v>
      </c>
      <c r="I63" s="550">
        <v>0</v>
      </c>
      <c r="J63" s="679">
        <f t="shared" si="0"/>
        <v>36200</v>
      </c>
    </row>
    <row r="64" spans="1:10" ht="13.5" customHeight="1">
      <c r="A64" s="258"/>
      <c r="B64" s="76"/>
      <c r="C64" s="76" t="s">
        <v>179</v>
      </c>
      <c r="D64" s="91"/>
      <c r="E64" s="92"/>
      <c r="F64" s="191"/>
      <c r="G64" s="550">
        <v>9000</v>
      </c>
      <c r="H64" s="550">
        <v>9000</v>
      </c>
      <c r="I64" s="550">
        <v>0</v>
      </c>
      <c r="J64" s="679">
        <f t="shared" si="0"/>
        <v>9000</v>
      </c>
    </row>
    <row r="65" spans="1:10" ht="13.5" customHeight="1">
      <c r="A65" s="258"/>
      <c r="B65" s="206"/>
      <c r="C65" s="206" t="s">
        <v>68</v>
      </c>
      <c r="D65" s="113">
        <f>SUM(D66:D67)</f>
        <v>19320</v>
      </c>
      <c r="E65" s="114">
        <f>SUM(E66:E67)</f>
        <v>28133</v>
      </c>
      <c r="F65" s="289"/>
      <c r="G65" s="554">
        <f>SUM(G66:G67)</f>
        <v>39000</v>
      </c>
      <c r="H65" s="554">
        <f>SUM(H66:H67)</f>
        <v>39000</v>
      </c>
      <c r="I65" s="554">
        <f>SUM(I66:I67)</f>
        <v>0</v>
      </c>
      <c r="J65" s="679">
        <f t="shared" si="0"/>
        <v>39000</v>
      </c>
    </row>
    <row r="66" spans="1:10" ht="13.5" customHeight="1">
      <c r="A66" s="260"/>
      <c r="B66" s="201"/>
      <c r="C66" s="76"/>
      <c r="D66" s="230">
        <v>4320</v>
      </c>
      <c r="E66" s="231">
        <v>6476</v>
      </c>
      <c r="F66" s="76" t="s">
        <v>9</v>
      </c>
      <c r="G66" s="550">
        <v>5000</v>
      </c>
      <c r="H66" s="550">
        <v>5000</v>
      </c>
      <c r="I66" s="550">
        <v>0</v>
      </c>
      <c r="J66" s="679">
        <f t="shared" si="0"/>
        <v>5000</v>
      </c>
    </row>
    <row r="67" spans="1:10" ht="13.5" customHeight="1">
      <c r="A67" s="260"/>
      <c r="B67" s="201"/>
      <c r="C67" s="76"/>
      <c r="D67" s="230">
        <v>15000</v>
      </c>
      <c r="E67" s="231">
        <v>21657</v>
      </c>
      <c r="F67" s="76" t="s">
        <v>180</v>
      </c>
      <c r="G67" s="550">
        <v>34000</v>
      </c>
      <c r="H67" s="550">
        <v>34000</v>
      </c>
      <c r="I67" s="550">
        <v>0</v>
      </c>
      <c r="J67" s="679">
        <f t="shared" si="0"/>
        <v>34000</v>
      </c>
    </row>
    <row r="68" spans="1:10" ht="13.5" customHeight="1">
      <c r="A68" s="260"/>
      <c r="B68" s="201"/>
      <c r="C68" s="206" t="s">
        <v>49</v>
      </c>
      <c r="D68" s="230"/>
      <c r="E68" s="231"/>
      <c r="F68" s="76"/>
      <c r="G68" s="428">
        <f>SUM(G69:G70)</f>
        <v>60000</v>
      </c>
      <c r="H68" s="428">
        <f>SUM(H69:H70)</f>
        <v>60000</v>
      </c>
      <c r="I68" s="428">
        <f>SUM(I69:I70)</f>
        <v>0</v>
      </c>
      <c r="J68" s="679">
        <f t="shared" si="0"/>
        <v>60000</v>
      </c>
    </row>
    <row r="69" spans="1:10" ht="13.5" customHeight="1">
      <c r="A69" s="258"/>
      <c r="B69" s="76"/>
      <c r="C69" s="206"/>
      <c r="D69" s="230"/>
      <c r="E69" s="231"/>
      <c r="F69" s="76" t="s">
        <v>9</v>
      </c>
      <c r="G69" s="428">
        <v>10000</v>
      </c>
      <c r="H69" s="428">
        <v>10000</v>
      </c>
      <c r="I69" s="428">
        <v>0</v>
      </c>
      <c r="J69" s="679">
        <f t="shared" si="0"/>
        <v>10000</v>
      </c>
    </row>
    <row r="70" spans="1:10" ht="13.5" customHeight="1">
      <c r="A70" s="258"/>
      <c r="B70" s="76"/>
      <c r="C70" s="206"/>
      <c r="D70" s="230"/>
      <c r="E70" s="231"/>
      <c r="F70" s="76" t="s">
        <v>180</v>
      </c>
      <c r="G70" s="428">
        <v>50000</v>
      </c>
      <c r="H70" s="428">
        <v>50000</v>
      </c>
      <c r="I70" s="428">
        <v>0</v>
      </c>
      <c r="J70" s="679">
        <f t="shared" si="0"/>
        <v>50000</v>
      </c>
    </row>
    <row r="71" spans="1:10" ht="13.5" customHeight="1">
      <c r="A71" s="258"/>
      <c r="B71" s="277"/>
      <c r="C71" s="76" t="s">
        <v>48</v>
      </c>
      <c r="D71" s="91"/>
      <c r="E71" s="92"/>
      <c r="F71" s="191"/>
      <c r="G71" s="550">
        <v>30000</v>
      </c>
      <c r="H71" s="550">
        <v>30000</v>
      </c>
      <c r="I71" s="550">
        <v>0</v>
      </c>
      <c r="J71" s="679">
        <f t="shared" si="0"/>
        <v>30000</v>
      </c>
    </row>
    <row r="72" spans="1:10" ht="13.5" customHeight="1">
      <c r="A72" s="258"/>
      <c r="B72" s="277"/>
      <c r="C72" s="76" t="s">
        <v>447</v>
      </c>
      <c r="D72" s="230"/>
      <c r="E72" s="231"/>
      <c r="F72" s="231"/>
      <c r="G72" s="550">
        <v>25000</v>
      </c>
      <c r="H72" s="550">
        <v>25000</v>
      </c>
      <c r="I72" s="550">
        <v>0</v>
      </c>
      <c r="J72" s="679">
        <f t="shared" si="0"/>
        <v>25000</v>
      </c>
    </row>
    <row r="73" spans="1:10" ht="13.5" customHeight="1">
      <c r="A73" s="258"/>
      <c r="B73" s="277"/>
      <c r="C73" s="76" t="s">
        <v>360</v>
      </c>
      <c r="D73" s="230"/>
      <c r="E73" s="231"/>
      <c r="F73" s="231"/>
      <c r="G73" s="550">
        <v>6000</v>
      </c>
      <c r="H73" s="550">
        <v>6000</v>
      </c>
      <c r="I73" s="550">
        <v>0</v>
      </c>
      <c r="J73" s="679">
        <f t="shared" si="0"/>
        <v>6000</v>
      </c>
    </row>
    <row r="74" spans="1:33" s="23" customFormat="1" ht="13.5" customHeight="1">
      <c r="A74" s="257" t="s">
        <v>102</v>
      </c>
      <c r="B74" s="87" t="s">
        <v>506</v>
      </c>
      <c r="C74" s="83"/>
      <c r="D74" s="89" t="e">
        <f>SUM(D75:D85)-D80-#REF!-#REF!-#REF!</f>
        <v>#REF!</v>
      </c>
      <c r="E74" s="89" t="e">
        <f>SUM(E75:E85)-E80-#REF!-#REF!-#REF!</f>
        <v>#REF!</v>
      </c>
      <c r="F74" s="90"/>
      <c r="G74" s="115">
        <f>SUM(G75:G76)</f>
        <v>51000</v>
      </c>
      <c r="H74" s="115">
        <f>SUM(H75:H76)</f>
        <v>51000</v>
      </c>
      <c r="I74" s="115">
        <f>SUM(I75:I76)</f>
        <v>4561</v>
      </c>
      <c r="J74" s="678">
        <f t="shared" si="0"/>
        <v>55561</v>
      </c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</row>
    <row r="75" spans="1:10" ht="13.5" customHeight="1">
      <c r="A75" s="258"/>
      <c r="B75" s="76"/>
      <c r="C75" s="76" t="s">
        <v>501</v>
      </c>
      <c r="D75" s="91">
        <v>105000</v>
      </c>
      <c r="E75" s="92">
        <v>99479</v>
      </c>
      <c r="F75" s="191"/>
      <c r="G75" s="550">
        <v>9000</v>
      </c>
      <c r="H75" s="550">
        <v>9000</v>
      </c>
      <c r="I75" s="550">
        <v>3985</v>
      </c>
      <c r="J75" s="679">
        <f t="shared" si="0"/>
        <v>12985</v>
      </c>
    </row>
    <row r="76" spans="1:10" ht="13.5" customHeight="1">
      <c r="A76" s="258"/>
      <c r="B76" s="143"/>
      <c r="C76" s="143" t="s">
        <v>414</v>
      </c>
      <c r="D76" s="91"/>
      <c r="E76" s="92"/>
      <c r="F76" s="191"/>
      <c r="G76" s="550">
        <v>42000</v>
      </c>
      <c r="H76" s="550">
        <v>42000</v>
      </c>
      <c r="I76" s="550">
        <v>576</v>
      </c>
      <c r="J76" s="679">
        <f t="shared" si="0"/>
        <v>42576</v>
      </c>
    </row>
    <row r="77" spans="1:33" s="23" customFormat="1" ht="13.5" customHeight="1">
      <c r="A77" s="257" t="s">
        <v>103</v>
      </c>
      <c r="B77" s="87" t="s">
        <v>507</v>
      </c>
      <c r="C77" s="83"/>
      <c r="D77" s="89" t="e">
        <f>SUM(D78:D85)-D83-#REF!-#REF!-#REF!</f>
        <v>#REF!</v>
      </c>
      <c r="E77" s="89" t="e">
        <f>SUM(E78:E85)-E83-#REF!-#REF!-#REF!</f>
        <v>#REF!</v>
      </c>
      <c r="F77" s="90"/>
      <c r="G77" s="555">
        <f>SUM(G78:G79)</f>
        <v>0</v>
      </c>
      <c r="H77" s="555">
        <f>SUM(H78:H79)</f>
        <v>0</v>
      </c>
      <c r="I77" s="555">
        <f>SUM(I78:I79)</f>
        <v>0</v>
      </c>
      <c r="J77" s="678">
        <f aca="true" t="shared" si="1" ref="J77:J141">SUM(H77:I77)</f>
        <v>0</v>
      </c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</row>
    <row r="78" spans="1:10" ht="13.5" customHeight="1">
      <c r="A78" s="258"/>
      <c r="B78" s="430"/>
      <c r="C78" s="76" t="s">
        <v>181</v>
      </c>
      <c r="D78" s="230">
        <f>SUM(D79:D79)</f>
        <v>0</v>
      </c>
      <c r="E78" s="231">
        <f>SUM(E79:E79)</f>
        <v>0</v>
      </c>
      <c r="F78" s="431"/>
      <c r="G78" s="550">
        <v>0</v>
      </c>
      <c r="H78" s="550">
        <v>0</v>
      </c>
      <c r="I78" s="550">
        <v>0</v>
      </c>
      <c r="J78" s="679">
        <f t="shared" si="1"/>
        <v>0</v>
      </c>
    </row>
    <row r="79" spans="1:10" ht="13.5" customHeight="1">
      <c r="A79" s="258"/>
      <c r="B79" s="430"/>
      <c r="C79" s="76" t="s">
        <v>178</v>
      </c>
      <c r="D79" s="91"/>
      <c r="E79" s="92"/>
      <c r="F79" s="92"/>
      <c r="G79" s="550">
        <v>0</v>
      </c>
      <c r="H79" s="550">
        <v>0</v>
      </c>
      <c r="I79" s="550">
        <v>0</v>
      </c>
      <c r="J79" s="679">
        <f t="shared" si="1"/>
        <v>0</v>
      </c>
    </row>
    <row r="80" spans="1:33" s="23" customFormat="1" ht="13.5" customHeight="1">
      <c r="A80" s="257" t="s">
        <v>104</v>
      </c>
      <c r="B80" s="196" t="s">
        <v>508</v>
      </c>
      <c r="C80" s="227"/>
      <c r="D80" s="228">
        <f>SUM(D81:D85)-D83</f>
        <v>86000</v>
      </c>
      <c r="E80" s="228">
        <f>SUM(E81:E85)-E83</f>
        <v>99892</v>
      </c>
      <c r="F80" s="229"/>
      <c r="G80" s="163">
        <f>SUM(G81:G83,G86:G88)</f>
        <v>202295</v>
      </c>
      <c r="H80" s="163">
        <f>SUM(H81:H83,H86:H88)</f>
        <v>204879</v>
      </c>
      <c r="I80" s="163">
        <f>SUM(I81:I83,I86:I88)</f>
        <v>-2341</v>
      </c>
      <c r="J80" s="678">
        <f t="shared" si="1"/>
        <v>202538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</row>
    <row r="81" spans="1:10" ht="13.5" customHeight="1">
      <c r="A81" s="258"/>
      <c r="B81" s="76"/>
      <c r="C81" s="76" t="s">
        <v>69</v>
      </c>
      <c r="D81" s="91">
        <v>15000</v>
      </c>
      <c r="E81" s="92">
        <v>24647</v>
      </c>
      <c r="F81" s="191"/>
      <c r="G81" s="550">
        <v>80000</v>
      </c>
      <c r="H81" s="550">
        <v>80000</v>
      </c>
      <c r="I81" s="550">
        <v>-6650</v>
      </c>
      <c r="J81" s="679">
        <f t="shared" si="1"/>
        <v>73350</v>
      </c>
    </row>
    <row r="82" spans="1:10" ht="13.5" customHeight="1">
      <c r="A82" s="258"/>
      <c r="B82" s="76"/>
      <c r="C82" s="76" t="s">
        <v>182</v>
      </c>
      <c r="D82" s="91">
        <v>0</v>
      </c>
      <c r="E82" s="92">
        <v>9579</v>
      </c>
      <c r="F82" s="191"/>
      <c r="G82" s="550">
        <v>0</v>
      </c>
      <c r="H82" s="550">
        <v>1050</v>
      </c>
      <c r="I82" s="550">
        <v>3343</v>
      </c>
      <c r="J82" s="679">
        <f t="shared" si="1"/>
        <v>4393</v>
      </c>
    </row>
    <row r="83" spans="1:10" ht="13.5" customHeight="1">
      <c r="A83" s="258"/>
      <c r="B83" s="206"/>
      <c r="C83" s="206" t="s">
        <v>70</v>
      </c>
      <c r="D83" s="113">
        <f>SUM(D84:D85)</f>
        <v>71000</v>
      </c>
      <c r="E83" s="113">
        <f>SUM(E84:E85)</f>
        <v>65666</v>
      </c>
      <c r="F83" s="232"/>
      <c r="G83" s="553">
        <f>SUM(G84:G85)</f>
        <v>108200</v>
      </c>
      <c r="H83" s="553">
        <f>SUM(H84:H85)</f>
        <v>109734</v>
      </c>
      <c r="I83" s="553">
        <f>SUM(I84:I85)</f>
        <v>966</v>
      </c>
      <c r="J83" s="679">
        <f t="shared" si="1"/>
        <v>110700</v>
      </c>
    </row>
    <row r="84" spans="1:10" ht="13.5" customHeight="1">
      <c r="A84" s="260"/>
      <c r="B84" s="75"/>
      <c r="C84" s="233"/>
      <c r="D84" s="230">
        <v>0</v>
      </c>
      <c r="E84" s="231">
        <v>217</v>
      </c>
      <c r="F84" s="76" t="s">
        <v>5</v>
      </c>
      <c r="G84" s="550">
        <v>0</v>
      </c>
      <c r="H84" s="550">
        <v>0</v>
      </c>
      <c r="I84" s="550">
        <v>0</v>
      </c>
      <c r="J84" s="679">
        <f t="shared" si="1"/>
        <v>0</v>
      </c>
    </row>
    <row r="85" spans="1:10" ht="13.5" customHeight="1">
      <c r="A85" s="260"/>
      <c r="B85" s="75"/>
      <c r="C85" s="233"/>
      <c r="D85" s="230">
        <v>71000</v>
      </c>
      <c r="E85" s="231">
        <v>65449</v>
      </c>
      <c r="F85" s="76" t="s">
        <v>180</v>
      </c>
      <c r="G85" s="550">
        <v>108200</v>
      </c>
      <c r="H85" s="550">
        <v>109734</v>
      </c>
      <c r="I85" s="550">
        <v>966</v>
      </c>
      <c r="J85" s="679">
        <f t="shared" si="1"/>
        <v>110700</v>
      </c>
    </row>
    <row r="86" spans="1:10" ht="13.5" customHeight="1">
      <c r="A86" s="260"/>
      <c r="B86" s="234"/>
      <c r="C86" s="79" t="s">
        <v>258</v>
      </c>
      <c r="D86" s="230"/>
      <c r="E86" s="230"/>
      <c r="F86" s="230"/>
      <c r="G86" s="550">
        <v>0</v>
      </c>
      <c r="H86" s="550">
        <v>0</v>
      </c>
      <c r="I86" s="550">
        <v>0</v>
      </c>
      <c r="J86" s="679">
        <f t="shared" si="1"/>
        <v>0</v>
      </c>
    </row>
    <row r="87" spans="1:10" ht="13.5" customHeight="1">
      <c r="A87" s="260"/>
      <c r="B87" s="234"/>
      <c r="C87" s="86" t="s">
        <v>38</v>
      </c>
      <c r="D87" s="230"/>
      <c r="E87" s="230"/>
      <c r="F87" s="436"/>
      <c r="G87" s="550">
        <v>10000</v>
      </c>
      <c r="H87" s="550">
        <v>10000</v>
      </c>
      <c r="I87" s="550">
        <v>0</v>
      </c>
      <c r="J87" s="679">
        <f t="shared" si="1"/>
        <v>10000</v>
      </c>
    </row>
    <row r="88" spans="1:10" ht="13.5" customHeight="1">
      <c r="A88" s="260"/>
      <c r="B88" s="234"/>
      <c r="C88" s="76" t="s">
        <v>363</v>
      </c>
      <c r="D88" s="230"/>
      <c r="E88" s="231"/>
      <c r="F88" s="431"/>
      <c r="G88" s="550">
        <v>4095</v>
      </c>
      <c r="H88" s="550">
        <v>4095</v>
      </c>
      <c r="I88" s="550">
        <v>0</v>
      </c>
      <c r="J88" s="679">
        <f t="shared" si="1"/>
        <v>4095</v>
      </c>
    </row>
    <row r="89" spans="1:10" ht="13.5" customHeight="1">
      <c r="A89" s="257" t="s">
        <v>283</v>
      </c>
      <c r="B89" s="196" t="s">
        <v>509</v>
      </c>
      <c r="C89" s="227"/>
      <c r="D89" s="228" t="e">
        <f>SUM(D90:D94)-#REF!</f>
        <v>#REF!</v>
      </c>
      <c r="E89" s="228" t="e">
        <f>SUM(E90:E94)-#REF!</f>
        <v>#REF!</v>
      </c>
      <c r="F89" s="229"/>
      <c r="G89" s="432">
        <f>SUM(G90:G92)</f>
        <v>90000</v>
      </c>
      <c r="H89" s="432">
        <f>SUM(H90:H92)</f>
        <v>90000</v>
      </c>
      <c r="I89" s="432">
        <f>SUM(I90:I92)</f>
        <v>11000</v>
      </c>
      <c r="J89" s="678">
        <f t="shared" si="1"/>
        <v>101000</v>
      </c>
    </row>
    <row r="90" spans="1:10" ht="13.5" customHeight="1">
      <c r="A90" s="260"/>
      <c r="B90" s="234"/>
      <c r="C90" s="76" t="s">
        <v>116</v>
      </c>
      <c r="D90" s="230">
        <v>0</v>
      </c>
      <c r="E90" s="231">
        <v>0</v>
      </c>
      <c r="F90" s="231"/>
      <c r="G90" s="550">
        <v>63000</v>
      </c>
      <c r="H90" s="550">
        <v>63000</v>
      </c>
      <c r="I90" s="550">
        <v>11000</v>
      </c>
      <c r="J90" s="679">
        <f t="shared" si="1"/>
        <v>74000</v>
      </c>
    </row>
    <row r="91" spans="1:10" ht="13.5" customHeight="1">
      <c r="A91" s="260"/>
      <c r="B91" s="234"/>
      <c r="C91" s="76" t="s">
        <v>502</v>
      </c>
      <c r="D91" s="230"/>
      <c r="E91" s="231"/>
      <c r="F91" s="231"/>
      <c r="G91" s="550">
        <v>27000</v>
      </c>
      <c r="H91" s="550">
        <v>27000</v>
      </c>
      <c r="I91" s="550">
        <v>0</v>
      </c>
      <c r="J91" s="679">
        <f t="shared" si="1"/>
        <v>27000</v>
      </c>
    </row>
    <row r="92" spans="1:10" ht="13.5" customHeight="1">
      <c r="A92" s="260"/>
      <c r="B92" s="234"/>
      <c r="C92" s="79" t="s">
        <v>358</v>
      </c>
      <c r="D92" s="230"/>
      <c r="E92" s="230"/>
      <c r="F92" s="230"/>
      <c r="G92" s="550">
        <v>0</v>
      </c>
      <c r="H92" s="550">
        <v>0</v>
      </c>
      <c r="I92" s="550">
        <v>0</v>
      </c>
      <c r="J92" s="679">
        <f t="shared" si="1"/>
        <v>0</v>
      </c>
    </row>
    <row r="93" spans="1:10" ht="13.5" customHeight="1">
      <c r="A93" s="267" t="s">
        <v>284</v>
      </c>
      <c r="B93" s="123" t="s">
        <v>422</v>
      </c>
      <c r="C93" s="235"/>
      <c r="D93" s="192"/>
      <c r="E93" s="192"/>
      <c r="F93" s="192"/>
      <c r="G93" s="269">
        <f>G94+G95+G100+G101+G102+G103</f>
        <v>82530</v>
      </c>
      <c r="H93" s="269">
        <f>H94+H95+H100+H101+H102+H103</f>
        <v>82530</v>
      </c>
      <c r="I93" s="269">
        <f>I94+I95+I100+I101+I102+I103</f>
        <v>-11256</v>
      </c>
      <c r="J93" s="678">
        <f t="shared" si="1"/>
        <v>71274</v>
      </c>
    </row>
    <row r="94" spans="1:10" ht="13.5" customHeight="1">
      <c r="A94" s="261"/>
      <c r="B94" s="234"/>
      <c r="C94" s="99" t="s">
        <v>3</v>
      </c>
      <c r="D94" s="192"/>
      <c r="E94" s="192"/>
      <c r="F94" s="192"/>
      <c r="G94" s="550">
        <v>0</v>
      </c>
      <c r="H94" s="550">
        <v>0</v>
      </c>
      <c r="I94" s="550">
        <v>0</v>
      </c>
      <c r="J94" s="679">
        <f t="shared" si="1"/>
        <v>0</v>
      </c>
    </row>
    <row r="95" spans="1:10" ht="13.5" customHeight="1">
      <c r="A95" s="261"/>
      <c r="B95" s="234"/>
      <c r="C95" s="99" t="s">
        <v>4</v>
      </c>
      <c r="D95" s="192"/>
      <c r="E95" s="192"/>
      <c r="F95" s="192"/>
      <c r="G95" s="556">
        <f>SUM(G96:G99)</f>
        <v>0</v>
      </c>
      <c r="H95" s="556">
        <v>0</v>
      </c>
      <c r="I95" s="556">
        <f>SUM(I96:I99)</f>
        <v>0</v>
      </c>
      <c r="J95" s="679">
        <f t="shared" si="1"/>
        <v>0</v>
      </c>
    </row>
    <row r="96" spans="1:10" ht="13.5" customHeight="1">
      <c r="A96" s="261"/>
      <c r="B96" s="234"/>
      <c r="C96" s="99"/>
      <c r="D96" s="192"/>
      <c r="E96" s="192"/>
      <c r="F96" s="458" t="s">
        <v>375</v>
      </c>
      <c r="G96" s="556">
        <v>0</v>
      </c>
      <c r="H96" s="556">
        <v>0</v>
      </c>
      <c r="I96" s="556">
        <v>0</v>
      </c>
      <c r="J96" s="679">
        <f t="shared" si="1"/>
        <v>0</v>
      </c>
    </row>
    <row r="97" spans="1:10" ht="13.5" customHeight="1">
      <c r="A97" s="261"/>
      <c r="B97" s="234"/>
      <c r="C97" s="99"/>
      <c r="D97" s="192"/>
      <c r="E97" s="192"/>
      <c r="F97" s="458" t="s">
        <v>212</v>
      </c>
      <c r="G97" s="556">
        <v>0</v>
      </c>
      <c r="H97" s="556">
        <v>0</v>
      </c>
      <c r="I97" s="556">
        <v>0</v>
      </c>
      <c r="J97" s="679">
        <f t="shared" si="1"/>
        <v>0</v>
      </c>
    </row>
    <row r="98" spans="1:10" ht="13.5" customHeight="1">
      <c r="A98" s="261"/>
      <c r="B98" s="234"/>
      <c r="C98" s="99"/>
      <c r="D98" s="192"/>
      <c r="E98" s="192"/>
      <c r="F98" s="458" t="s">
        <v>213</v>
      </c>
      <c r="G98" s="556">
        <v>0</v>
      </c>
      <c r="H98" s="556">
        <v>0</v>
      </c>
      <c r="I98" s="556">
        <v>0</v>
      </c>
      <c r="J98" s="679">
        <f t="shared" si="1"/>
        <v>0</v>
      </c>
    </row>
    <row r="99" spans="1:10" ht="13.5" customHeight="1">
      <c r="A99" s="261"/>
      <c r="B99" s="234"/>
      <c r="C99" s="99"/>
      <c r="D99" s="192"/>
      <c r="E99" s="192"/>
      <c r="F99" s="458" t="s">
        <v>374</v>
      </c>
      <c r="G99" s="556">
        <v>0</v>
      </c>
      <c r="H99" s="556">
        <v>0</v>
      </c>
      <c r="I99" s="556">
        <v>0</v>
      </c>
      <c r="J99" s="679">
        <f t="shared" si="1"/>
        <v>0</v>
      </c>
    </row>
    <row r="100" spans="1:10" ht="13.5" customHeight="1">
      <c r="A100" s="261"/>
      <c r="B100" s="234"/>
      <c r="C100" s="102" t="s">
        <v>73</v>
      </c>
      <c r="D100" s="192"/>
      <c r="E100" s="192"/>
      <c r="F100" s="192"/>
      <c r="G100" s="550">
        <v>23000</v>
      </c>
      <c r="H100" s="550">
        <v>23000</v>
      </c>
      <c r="I100" s="550">
        <v>-20000</v>
      </c>
      <c r="J100" s="679">
        <f t="shared" si="1"/>
        <v>3000</v>
      </c>
    </row>
    <row r="101" spans="1:10" ht="13.5" customHeight="1">
      <c r="A101" s="393"/>
      <c r="B101" s="234"/>
      <c r="C101" s="99" t="s">
        <v>5</v>
      </c>
      <c r="D101" s="192"/>
      <c r="E101" s="192"/>
      <c r="F101" s="416"/>
      <c r="G101" s="550">
        <v>19930</v>
      </c>
      <c r="H101" s="550">
        <v>19930</v>
      </c>
      <c r="I101" s="550">
        <v>44623</v>
      </c>
      <c r="J101" s="679">
        <f t="shared" si="1"/>
        <v>64553</v>
      </c>
    </row>
    <row r="102" spans="1:10" ht="13.5" customHeight="1">
      <c r="A102" s="393"/>
      <c r="B102" s="234"/>
      <c r="C102" s="99" t="s">
        <v>466</v>
      </c>
      <c r="D102" s="192"/>
      <c r="E102" s="192"/>
      <c r="F102" s="416"/>
      <c r="G102" s="550">
        <v>0</v>
      </c>
      <c r="H102" s="550">
        <v>0</v>
      </c>
      <c r="I102" s="550">
        <v>0</v>
      </c>
      <c r="J102" s="679">
        <f t="shared" si="1"/>
        <v>0</v>
      </c>
    </row>
    <row r="103" spans="1:10" ht="13.5" customHeight="1">
      <c r="A103" s="261"/>
      <c r="B103" s="234"/>
      <c r="C103" s="528" t="s">
        <v>39</v>
      </c>
      <c r="D103" s="192"/>
      <c r="E103" s="192"/>
      <c r="F103" s="192"/>
      <c r="G103" s="557">
        <f>SUM(G104:G105)</f>
        <v>39600</v>
      </c>
      <c r="H103" s="557">
        <f>SUM(H104:H105)</f>
        <v>39600</v>
      </c>
      <c r="I103" s="557">
        <f>SUM(I104:I105)</f>
        <v>-35879</v>
      </c>
      <c r="J103" s="679">
        <f t="shared" si="1"/>
        <v>3721</v>
      </c>
    </row>
    <row r="104" spans="1:10" ht="13.5" customHeight="1">
      <c r="A104" s="390"/>
      <c r="B104" s="391"/>
      <c r="C104" s="268"/>
      <c r="D104" s="392"/>
      <c r="E104" s="392"/>
      <c r="F104" s="283" t="s">
        <v>184</v>
      </c>
      <c r="G104" s="558">
        <v>2000</v>
      </c>
      <c r="H104" s="558">
        <v>2000</v>
      </c>
      <c r="I104" s="558">
        <v>1721</v>
      </c>
      <c r="J104" s="679">
        <f t="shared" si="1"/>
        <v>3721</v>
      </c>
    </row>
    <row r="105" spans="1:10" ht="13.5" customHeight="1">
      <c r="A105" s="393"/>
      <c r="B105" s="234"/>
      <c r="C105" s="102"/>
      <c r="D105" s="192"/>
      <c r="E105" s="192"/>
      <c r="F105" s="103" t="s">
        <v>451</v>
      </c>
      <c r="G105" s="550">
        <v>37600</v>
      </c>
      <c r="H105" s="550">
        <v>37600</v>
      </c>
      <c r="I105" s="550">
        <v>-37600</v>
      </c>
      <c r="J105" s="679">
        <f t="shared" si="1"/>
        <v>0</v>
      </c>
    </row>
    <row r="106" spans="1:33" s="23" customFormat="1" ht="13.5" customHeight="1">
      <c r="A106" s="263" t="s">
        <v>395</v>
      </c>
      <c r="B106" s="71" t="s">
        <v>71</v>
      </c>
      <c r="C106" s="87"/>
      <c r="D106" s="236" t="e">
        <f>SUM(D107,D108,D113:D118)</f>
        <v>#REF!</v>
      </c>
      <c r="E106" s="236" t="e">
        <f>SUM(E107,E108,E113:E118)</f>
        <v>#REF!</v>
      </c>
      <c r="F106" s="415"/>
      <c r="G106" s="414">
        <f>SUM(G118:G119,G113:G115,G107:G108)</f>
        <v>11088</v>
      </c>
      <c r="H106" s="414">
        <f>SUM(H118:H119,H113:H115,H107:H108)</f>
        <v>25696</v>
      </c>
      <c r="I106" s="414">
        <f>SUM(I118:I119,I113:I115,I107:I108)</f>
        <v>5403</v>
      </c>
      <c r="J106" s="678">
        <f t="shared" si="1"/>
        <v>31099</v>
      </c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</row>
    <row r="107" spans="1:10" ht="13.5" customHeight="1">
      <c r="A107" s="260"/>
      <c r="B107" s="234"/>
      <c r="C107" s="76" t="s">
        <v>3</v>
      </c>
      <c r="D107" s="230">
        <v>1620</v>
      </c>
      <c r="E107" s="231">
        <v>1963</v>
      </c>
      <c r="F107" s="231"/>
      <c r="G107" s="550">
        <v>2879</v>
      </c>
      <c r="H107" s="550">
        <v>3168</v>
      </c>
      <c r="I107" s="550">
        <v>2229</v>
      </c>
      <c r="J107" s="679">
        <f t="shared" si="1"/>
        <v>5397</v>
      </c>
    </row>
    <row r="108" spans="1:10" ht="13.5" customHeight="1">
      <c r="A108" s="260"/>
      <c r="B108" s="234"/>
      <c r="C108" s="76" t="s">
        <v>4</v>
      </c>
      <c r="D108" s="237" t="e">
        <f>SUM(#REF!)</f>
        <v>#REF!</v>
      </c>
      <c r="E108" s="238" t="e">
        <f>SUM(#REF!)</f>
        <v>#REF!</v>
      </c>
      <c r="F108" s="238"/>
      <c r="G108" s="559">
        <f>SUM(G109:G112)</f>
        <v>355</v>
      </c>
      <c r="H108" s="559">
        <f>SUM(H109:H112)</f>
        <v>527</v>
      </c>
      <c r="I108" s="559">
        <f>SUM(I109:I112)</f>
        <v>784</v>
      </c>
      <c r="J108" s="679">
        <f t="shared" si="1"/>
        <v>1311</v>
      </c>
    </row>
    <row r="109" spans="1:10" ht="13.5" customHeight="1">
      <c r="A109" s="260"/>
      <c r="B109" s="234"/>
      <c r="C109" s="76"/>
      <c r="D109" s="237"/>
      <c r="E109" s="238"/>
      <c r="F109" s="458" t="s">
        <v>375</v>
      </c>
      <c r="G109" s="559">
        <v>299</v>
      </c>
      <c r="H109" s="559">
        <v>455</v>
      </c>
      <c r="I109" s="559">
        <v>647</v>
      </c>
      <c r="J109" s="679">
        <f t="shared" si="1"/>
        <v>1102</v>
      </c>
    </row>
    <row r="110" spans="1:10" ht="13.5" customHeight="1">
      <c r="A110" s="260"/>
      <c r="B110" s="234"/>
      <c r="C110" s="76"/>
      <c r="D110" s="237"/>
      <c r="E110" s="238"/>
      <c r="F110" s="458" t="s">
        <v>212</v>
      </c>
      <c r="G110" s="559">
        <v>31</v>
      </c>
      <c r="H110" s="559">
        <v>40</v>
      </c>
      <c r="I110" s="559">
        <v>67</v>
      </c>
      <c r="J110" s="679">
        <f t="shared" si="1"/>
        <v>107</v>
      </c>
    </row>
    <row r="111" spans="1:10" ht="13.5" customHeight="1">
      <c r="A111" s="260"/>
      <c r="B111" s="234"/>
      <c r="C111" s="76"/>
      <c r="D111" s="237"/>
      <c r="E111" s="238"/>
      <c r="F111" s="458" t="s">
        <v>213</v>
      </c>
      <c r="G111" s="559">
        <v>25</v>
      </c>
      <c r="H111" s="559">
        <v>32</v>
      </c>
      <c r="I111" s="559">
        <v>70</v>
      </c>
      <c r="J111" s="679">
        <f t="shared" si="1"/>
        <v>102</v>
      </c>
    </row>
    <row r="112" spans="1:10" ht="13.5" customHeight="1">
      <c r="A112" s="260"/>
      <c r="B112" s="234"/>
      <c r="C112" s="76"/>
      <c r="D112" s="237"/>
      <c r="E112" s="238"/>
      <c r="F112" s="458" t="s">
        <v>374</v>
      </c>
      <c r="G112" s="559">
        <v>0</v>
      </c>
      <c r="H112" s="559">
        <v>0</v>
      </c>
      <c r="I112" s="559">
        <v>0</v>
      </c>
      <c r="J112" s="679">
        <f t="shared" si="1"/>
        <v>0</v>
      </c>
    </row>
    <row r="113" spans="1:10" ht="13.5" customHeight="1">
      <c r="A113" s="260"/>
      <c r="B113" s="234"/>
      <c r="C113" s="76" t="s">
        <v>5</v>
      </c>
      <c r="D113" s="230">
        <v>0</v>
      </c>
      <c r="E113" s="231">
        <v>3093</v>
      </c>
      <c r="F113" s="231"/>
      <c r="G113" s="550">
        <v>7259</v>
      </c>
      <c r="H113" s="550">
        <v>19706</v>
      </c>
      <c r="I113" s="550">
        <v>1895</v>
      </c>
      <c r="J113" s="679">
        <f t="shared" si="1"/>
        <v>21601</v>
      </c>
    </row>
    <row r="114" spans="1:10" ht="13.5" customHeight="1">
      <c r="A114" s="260"/>
      <c r="B114" s="234"/>
      <c r="C114" s="99" t="s">
        <v>466</v>
      </c>
      <c r="D114" s="230">
        <v>0</v>
      </c>
      <c r="E114" s="231">
        <v>30</v>
      </c>
      <c r="F114" s="231"/>
      <c r="G114" s="550">
        <v>100</v>
      </c>
      <c r="H114" s="550">
        <v>100</v>
      </c>
      <c r="I114" s="550">
        <v>0</v>
      </c>
      <c r="J114" s="679">
        <f t="shared" si="1"/>
        <v>100</v>
      </c>
    </row>
    <row r="115" spans="1:10" ht="13.5" customHeight="1">
      <c r="A115" s="260"/>
      <c r="B115" s="234"/>
      <c r="C115" s="528" t="s">
        <v>39</v>
      </c>
      <c r="D115" s="230"/>
      <c r="E115" s="231"/>
      <c r="F115" s="231"/>
      <c r="G115" s="550">
        <f>SUM(G116:G117)</f>
        <v>495</v>
      </c>
      <c r="H115" s="550">
        <f>SUM(H116:H117)</f>
        <v>1195</v>
      </c>
      <c r="I115" s="550">
        <f>SUM(I116:I117)</f>
        <v>495</v>
      </c>
      <c r="J115" s="679">
        <f t="shared" si="1"/>
        <v>1690</v>
      </c>
    </row>
    <row r="116" spans="1:10" ht="13.5" customHeight="1">
      <c r="A116" s="260"/>
      <c r="B116" s="234"/>
      <c r="C116" s="79"/>
      <c r="D116" s="230"/>
      <c r="E116" s="231"/>
      <c r="F116" s="283" t="s">
        <v>184</v>
      </c>
      <c r="G116" s="550">
        <v>400</v>
      </c>
      <c r="H116" s="550">
        <v>1100</v>
      </c>
      <c r="I116" s="550">
        <v>495</v>
      </c>
      <c r="J116" s="679">
        <f t="shared" si="1"/>
        <v>1595</v>
      </c>
    </row>
    <row r="117" spans="1:10" ht="13.5" customHeight="1">
      <c r="A117" s="260"/>
      <c r="B117" s="234"/>
      <c r="C117" s="79"/>
      <c r="D117" s="230"/>
      <c r="E117" s="231"/>
      <c r="F117" s="79" t="s">
        <v>536</v>
      </c>
      <c r="G117" s="550">
        <v>95</v>
      </c>
      <c r="H117" s="550">
        <v>95</v>
      </c>
      <c r="I117" s="550">
        <v>0</v>
      </c>
      <c r="J117" s="679">
        <f t="shared" si="1"/>
        <v>95</v>
      </c>
    </row>
    <row r="118" spans="1:10" ht="13.5" customHeight="1">
      <c r="A118" s="260"/>
      <c r="B118" s="234"/>
      <c r="C118" s="79" t="s">
        <v>183</v>
      </c>
      <c r="D118" s="230">
        <v>0</v>
      </c>
      <c r="E118" s="231"/>
      <c r="F118" s="231"/>
      <c r="G118" s="550">
        <v>0</v>
      </c>
      <c r="H118" s="550">
        <v>0</v>
      </c>
      <c r="I118" s="550">
        <v>0</v>
      </c>
      <c r="J118" s="679">
        <f t="shared" si="1"/>
        <v>0</v>
      </c>
    </row>
    <row r="119" spans="1:10" ht="13.5" customHeight="1">
      <c r="A119" s="258"/>
      <c r="B119" s="233"/>
      <c r="C119" s="86" t="s">
        <v>40</v>
      </c>
      <c r="D119" s="230"/>
      <c r="E119" s="231"/>
      <c r="F119" s="231"/>
      <c r="G119" s="550">
        <v>0</v>
      </c>
      <c r="H119" s="550">
        <v>1000</v>
      </c>
      <c r="I119" s="550">
        <v>0</v>
      </c>
      <c r="J119" s="679">
        <f t="shared" si="1"/>
        <v>1000</v>
      </c>
    </row>
    <row r="120" spans="1:33" s="23" customFormat="1" ht="13.5" customHeight="1">
      <c r="A120" s="263" t="s">
        <v>399</v>
      </c>
      <c r="B120" s="240" t="s">
        <v>57</v>
      </c>
      <c r="C120" s="97"/>
      <c r="D120" s="89" t="e">
        <f>SUM(D121,D123,D129,#REF!,D131,D134,D135)</f>
        <v>#REF!</v>
      </c>
      <c r="E120" s="89" t="e">
        <f>SUM(E121,E123,E129,#REF!,E131,E134,E135)</f>
        <v>#REF!</v>
      </c>
      <c r="F120" s="90"/>
      <c r="G120" s="89">
        <f>SUM(G121,G123,G129,G130,G133,G137,G138,G139,G141,G142,G143,G144,G147,G140,G153,G156,G159,)</f>
        <v>5170239</v>
      </c>
      <c r="H120" s="89">
        <f>SUM(H121,H123,H129,H130,H133,H137,H138,H139,H141,H142,H143,H144,H147,H140,H153,H156,H159,)</f>
        <v>14854620</v>
      </c>
      <c r="I120" s="89">
        <f>SUM(I121,I123,I129,I130,I133,I137,I138,I139,I141,I142,I143,I144,I147,I140,I153,I156,I159,)</f>
        <v>-475943</v>
      </c>
      <c r="J120" s="678">
        <f t="shared" si="1"/>
        <v>14378677</v>
      </c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</row>
    <row r="121" spans="1:33" s="21" customFormat="1" ht="13.5" customHeight="1">
      <c r="A121" s="264"/>
      <c r="B121" s="248"/>
      <c r="C121" s="99" t="s">
        <v>3</v>
      </c>
      <c r="D121" s="242">
        <v>211132</v>
      </c>
      <c r="E121" s="243">
        <v>223678</v>
      </c>
      <c r="F121" s="243"/>
      <c r="G121" s="550">
        <v>907118</v>
      </c>
      <c r="H121" s="550">
        <v>994519</v>
      </c>
      <c r="I121" s="550">
        <v>-6776</v>
      </c>
      <c r="J121" s="679">
        <f t="shared" si="1"/>
        <v>987743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1:33" s="21" customFormat="1" ht="13.5" customHeight="1">
      <c r="A122" s="264"/>
      <c r="B122" s="223"/>
      <c r="C122" s="244"/>
      <c r="D122" s="242"/>
      <c r="E122" s="243"/>
      <c r="F122" s="249" t="s">
        <v>72</v>
      </c>
      <c r="G122" s="550">
        <v>93677</v>
      </c>
      <c r="H122" s="550">
        <v>93677</v>
      </c>
      <c r="I122" s="550">
        <v>0</v>
      </c>
      <c r="J122" s="679">
        <f t="shared" si="1"/>
        <v>93677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1:10" ht="13.5" customHeight="1">
      <c r="A123" s="264"/>
      <c r="B123" s="234"/>
      <c r="C123" s="99" t="s">
        <v>4</v>
      </c>
      <c r="D123" s="237" t="e">
        <f>SUM(#REF!)</f>
        <v>#REF!</v>
      </c>
      <c r="E123" s="238" t="e">
        <f>SUM(#REF!)</f>
        <v>#REF!</v>
      </c>
      <c r="F123" s="238"/>
      <c r="G123" s="554">
        <f>SUM(G125:G128)</f>
        <v>274442</v>
      </c>
      <c r="H123" s="554">
        <f>SUM(H125:H128)</f>
        <v>302087</v>
      </c>
      <c r="I123" s="554">
        <f>SUM(I125:I128)</f>
        <v>-2182</v>
      </c>
      <c r="J123" s="679">
        <f t="shared" si="1"/>
        <v>299905</v>
      </c>
    </row>
    <row r="124" spans="1:10" ht="13.5" customHeight="1">
      <c r="A124" s="264"/>
      <c r="B124" s="223"/>
      <c r="C124" s="233"/>
      <c r="D124" s="237"/>
      <c r="E124" s="238"/>
      <c r="F124" s="249" t="s">
        <v>72</v>
      </c>
      <c r="G124" s="550">
        <v>26977</v>
      </c>
      <c r="H124" s="550">
        <v>26977</v>
      </c>
      <c r="I124" s="550">
        <v>0</v>
      </c>
      <c r="J124" s="679">
        <f t="shared" si="1"/>
        <v>26977</v>
      </c>
    </row>
    <row r="125" spans="1:10" ht="13.5" customHeight="1">
      <c r="A125" s="265"/>
      <c r="B125" s="223"/>
      <c r="C125" s="233"/>
      <c r="D125" s="237"/>
      <c r="E125" s="238"/>
      <c r="F125" s="458" t="s">
        <v>375</v>
      </c>
      <c r="G125" s="550">
        <v>245129</v>
      </c>
      <c r="H125" s="550">
        <v>270173</v>
      </c>
      <c r="I125" s="550">
        <v>-1903</v>
      </c>
      <c r="J125" s="679">
        <f t="shared" si="1"/>
        <v>268270</v>
      </c>
    </row>
    <row r="126" spans="1:10" ht="13.5" customHeight="1">
      <c r="A126" s="265"/>
      <c r="B126" s="223"/>
      <c r="C126" s="233"/>
      <c r="D126" s="237"/>
      <c r="E126" s="238"/>
      <c r="F126" s="458" t="s">
        <v>212</v>
      </c>
      <c r="G126" s="550">
        <v>21677</v>
      </c>
      <c r="H126" s="550">
        <v>24204</v>
      </c>
      <c r="I126" s="550">
        <v>-197</v>
      </c>
      <c r="J126" s="679">
        <f t="shared" si="1"/>
        <v>24007</v>
      </c>
    </row>
    <row r="127" spans="1:10" ht="13.5" customHeight="1">
      <c r="A127" s="265"/>
      <c r="B127" s="223"/>
      <c r="C127" s="233"/>
      <c r="D127" s="237"/>
      <c r="E127" s="238"/>
      <c r="F127" s="458" t="s">
        <v>213</v>
      </c>
      <c r="G127" s="550">
        <v>5436</v>
      </c>
      <c r="H127" s="550">
        <v>5510</v>
      </c>
      <c r="I127" s="550">
        <v>-82</v>
      </c>
      <c r="J127" s="679">
        <f t="shared" si="1"/>
        <v>5428</v>
      </c>
    </row>
    <row r="128" spans="1:10" ht="13.5" customHeight="1">
      <c r="A128" s="265"/>
      <c r="B128" s="223"/>
      <c r="C128" s="233"/>
      <c r="D128" s="237"/>
      <c r="E128" s="238"/>
      <c r="F128" s="458" t="s">
        <v>374</v>
      </c>
      <c r="G128" s="550">
        <v>2200</v>
      </c>
      <c r="H128" s="550">
        <v>2200</v>
      </c>
      <c r="I128" s="550">
        <v>0</v>
      </c>
      <c r="J128" s="679">
        <f t="shared" si="1"/>
        <v>2200</v>
      </c>
    </row>
    <row r="129" spans="1:10" ht="13.5" customHeight="1">
      <c r="A129" s="265"/>
      <c r="B129" s="234"/>
      <c r="C129" s="99" t="s">
        <v>5</v>
      </c>
      <c r="D129" s="242">
        <v>168686</v>
      </c>
      <c r="E129" s="243">
        <v>284089</v>
      </c>
      <c r="F129" s="243"/>
      <c r="G129" s="550">
        <v>876810</v>
      </c>
      <c r="H129" s="550">
        <v>3723259</v>
      </c>
      <c r="I129" s="550">
        <v>-460414</v>
      </c>
      <c r="J129" s="679">
        <f t="shared" si="1"/>
        <v>3262845</v>
      </c>
    </row>
    <row r="130" spans="1:10" ht="13.5" customHeight="1">
      <c r="A130" s="799"/>
      <c r="B130" s="391"/>
      <c r="C130" s="283" t="s">
        <v>466</v>
      </c>
      <c r="D130" s="800"/>
      <c r="E130" s="801"/>
      <c r="F130" s="801"/>
      <c r="G130" s="802">
        <f>SUM(G131:G131)</f>
        <v>58400</v>
      </c>
      <c r="H130" s="802">
        <f>SUM(H131:H131)</f>
        <v>63940</v>
      </c>
      <c r="I130" s="802">
        <f>SUM(I131:I131)</f>
        <v>402821</v>
      </c>
      <c r="J130" s="803">
        <f t="shared" si="1"/>
        <v>466761</v>
      </c>
    </row>
    <row r="131" spans="1:33" s="21" customFormat="1" ht="13.5" customHeight="1">
      <c r="A131" s="811"/>
      <c r="B131" s="813"/>
      <c r="C131" s="268"/>
      <c r="D131" s="800">
        <v>147700</v>
      </c>
      <c r="E131" s="801">
        <v>196371</v>
      </c>
      <c r="F131" s="814" t="s">
        <v>186</v>
      </c>
      <c r="G131" s="558">
        <v>58400</v>
      </c>
      <c r="H131" s="558">
        <v>63940</v>
      </c>
      <c r="I131" s="890">
        <v>402821</v>
      </c>
      <c r="J131" s="803">
        <f t="shared" si="1"/>
        <v>466761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1:33" s="21" customFormat="1" ht="13.5" customHeight="1">
      <c r="A132" s="812"/>
      <c r="B132" s="815"/>
      <c r="C132" s="816"/>
      <c r="D132" s="807"/>
      <c r="E132" s="808"/>
      <c r="F132" s="817" t="s">
        <v>639</v>
      </c>
      <c r="G132" s="818"/>
      <c r="H132" s="818"/>
      <c r="I132" s="891">
        <v>402821</v>
      </c>
      <c r="J132" s="810">
        <f t="shared" si="1"/>
        <v>402821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1:10" ht="13.5" customHeight="1">
      <c r="A133" s="804"/>
      <c r="B133" s="805"/>
      <c r="C133" s="806" t="s">
        <v>41</v>
      </c>
      <c r="D133" s="807">
        <v>36000</v>
      </c>
      <c r="E133" s="808">
        <v>29000</v>
      </c>
      <c r="F133" s="808"/>
      <c r="G133" s="809">
        <v>246270</v>
      </c>
      <c r="H133" s="809">
        <f>SUM(H134:H136)</f>
        <v>252124</v>
      </c>
      <c r="I133" s="809">
        <f>SUM(I134:I136)</f>
        <v>19215</v>
      </c>
      <c r="J133" s="810">
        <f t="shared" si="1"/>
        <v>271339</v>
      </c>
    </row>
    <row r="134" spans="1:33" s="21" customFormat="1" ht="13.5" customHeight="1">
      <c r="A134" s="265"/>
      <c r="B134" s="245"/>
      <c r="C134" s="244"/>
      <c r="D134" s="242">
        <v>200</v>
      </c>
      <c r="E134" s="243">
        <v>4011</v>
      </c>
      <c r="F134" s="99" t="s">
        <v>184</v>
      </c>
      <c r="G134" s="550">
        <v>122270</v>
      </c>
      <c r="H134" s="550">
        <v>128124</v>
      </c>
      <c r="I134" s="550">
        <v>9180</v>
      </c>
      <c r="J134" s="679">
        <f t="shared" si="1"/>
        <v>137304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1:10" ht="13.5" customHeight="1">
      <c r="A135" s="265"/>
      <c r="B135" s="245"/>
      <c r="C135" s="233"/>
      <c r="D135" s="237">
        <f>SUM(D136:D138)</f>
        <v>207972</v>
      </c>
      <c r="E135" s="238">
        <f>SUM(E136:E138)</f>
        <v>224078</v>
      </c>
      <c r="F135" s="99" t="s">
        <v>463</v>
      </c>
      <c r="G135" s="550">
        <v>124000</v>
      </c>
      <c r="H135" s="550">
        <v>124000</v>
      </c>
      <c r="I135" s="550">
        <v>10035</v>
      </c>
      <c r="J135" s="679">
        <f t="shared" si="1"/>
        <v>134035</v>
      </c>
    </row>
    <row r="136" spans="1:10" ht="13.5" customHeight="1">
      <c r="A136" s="265"/>
      <c r="B136" s="98"/>
      <c r="C136" s="233"/>
      <c r="D136" s="242">
        <v>16700</v>
      </c>
      <c r="E136" s="243">
        <v>33306</v>
      </c>
      <c r="F136" s="102" t="s">
        <v>185</v>
      </c>
      <c r="G136" s="550">
        <v>0</v>
      </c>
      <c r="H136" s="550">
        <v>0</v>
      </c>
      <c r="I136" s="550">
        <v>0</v>
      </c>
      <c r="J136" s="679">
        <f t="shared" si="1"/>
        <v>0</v>
      </c>
    </row>
    <row r="137" spans="1:10" ht="13.5" customHeight="1">
      <c r="A137" s="265"/>
      <c r="B137" s="234"/>
      <c r="C137" s="102" t="s">
        <v>73</v>
      </c>
      <c r="D137" s="242">
        <v>191272</v>
      </c>
      <c r="E137" s="243">
        <v>181741</v>
      </c>
      <c r="F137" s="243"/>
      <c r="G137" s="550">
        <v>0</v>
      </c>
      <c r="H137" s="550">
        <v>81</v>
      </c>
      <c r="I137" s="550">
        <v>114</v>
      </c>
      <c r="J137" s="679">
        <f t="shared" si="1"/>
        <v>195</v>
      </c>
    </row>
    <row r="138" spans="1:33" s="20" customFormat="1" ht="13.5" customHeight="1">
      <c r="A138" s="265"/>
      <c r="B138" s="246"/>
      <c r="C138" s="102" t="s">
        <v>6</v>
      </c>
      <c r="D138" s="242">
        <v>0</v>
      </c>
      <c r="E138" s="243">
        <v>9031</v>
      </c>
      <c r="F138" s="243"/>
      <c r="G138" s="550">
        <v>2000</v>
      </c>
      <c r="H138" s="550">
        <v>22000</v>
      </c>
      <c r="I138" s="550">
        <v>0</v>
      </c>
      <c r="J138" s="679">
        <f t="shared" si="1"/>
        <v>22000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1:33" s="20" customFormat="1" ht="13.5" customHeight="1">
      <c r="A139" s="265"/>
      <c r="B139" s="246"/>
      <c r="C139" s="206" t="s">
        <v>411</v>
      </c>
      <c r="D139" s="242"/>
      <c r="E139" s="243"/>
      <c r="F139" s="243"/>
      <c r="G139" s="550">
        <v>0</v>
      </c>
      <c r="H139" s="550">
        <v>0</v>
      </c>
      <c r="I139" s="550">
        <v>0</v>
      </c>
      <c r="J139" s="679">
        <f t="shared" si="1"/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1:33" s="20" customFormat="1" ht="13.5" customHeight="1">
      <c r="A140" s="265"/>
      <c r="B140" s="246"/>
      <c r="C140" s="102" t="s">
        <v>190</v>
      </c>
      <c r="D140" s="242"/>
      <c r="E140" s="243"/>
      <c r="F140" s="243"/>
      <c r="G140" s="550">
        <v>0</v>
      </c>
      <c r="H140" s="550">
        <v>0</v>
      </c>
      <c r="I140" s="550">
        <v>0</v>
      </c>
      <c r="J140" s="679">
        <f t="shared" si="1"/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1:33" s="20" customFormat="1" ht="13.5" customHeight="1">
      <c r="A141" s="265"/>
      <c r="B141" s="246"/>
      <c r="C141" s="102" t="s">
        <v>7</v>
      </c>
      <c r="D141" s="242"/>
      <c r="E141" s="243"/>
      <c r="F141" s="243"/>
      <c r="G141" s="550">
        <v>66420</v>
      </c>
      <c r="H141" s="550">
        <v>98047</v>
      </c>
      <c r="I141" s="550">
        <v>0</v>
      </c>
      <c r="J141" s="679">
        <f t="shared" si="1"/>
        <v>98047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1:33" s="20" customFormat="1" ht="13.5" customHeight="1">
      <c r="A142" s="265"/>
      <c r="B142" s="246"/>
      <c r="C142" s="102" t="s">
        <v>230</v>
      </c>
      <c r="D142" s="242"/>
      <c r="E142" s="243"/>
      <c r="F142" s="243"/>
      <c r="G142" s="550">
        <v>490943</v>
      </c>
      <c r="H142" s="550">
        <v>836555</v>
      </c>
      <c r="I142" s="550">
        <v>-9200</v>
      </c>
      <c r="J142" s="679">
        <f aca="true" t="shared" si="2" ref="J142:J217">SUM(H142:I142)</f>
        <v>827355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1:33" s="20" customFormat="1" ht="13.5" customHeight="1">
      <c r="A143" s="265"/>
      <c r="B143" s="246"/>
      <c r="C143" s="102" t="s">
        <v>231</v>
      </c>
      <c r="D143" s="242"/>
      <c r="E143" s="243"/>
      <c r="F143" s="243"/>
      <c r="G143" s="550">
        <v>0</v>
      </c>
      <c r="H143" s="550">
        <v>0</v>
      </c>
      <c r="I143" s="550">
        <v>0</v>
      </c>
      <c r="J143" s="679">
        <f t="shared" si="2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1:33" s="20" customFormat="1" ht="13.5" customHeight="1">
      <c r="A144" s="799"/>
      <c r="B144" s="819"/>
      <c r="C144" s="820" t="s">
        <v>468</v>
      </c>
      <c r="D144" s="800"/>
      <c r="E144" s="801"/>
      <c r="F144" s="801"/>
      <c r="G144" s="821">
        <f>SUM(G145:G145)</f>
        <v>85501</v>
      </c>
      <c r="H144" s="821">
        <f>SUM(H145:H145)</f>
        <v>1594881</v>
      </c>
      <c r="I144" s="821">
        <f>SUM(I145:I145)</f>
        <v>134272</v>
      </c>
      <c r="J144" s="803">
        <f t="shared" si="2"/>
        <v>1729153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1:33" s="20" customFormat="1" ht="13.5" customHeight="1">
      <c r="A145" s="811"/>
      <c r="B145" s="825"/>
      <c r="C145" s="826"/>
      <c r="D145" s="800"/>
      <c r="E145" s="801"/>
      <c r="F145" s="814" t="s">
        <v>186</v>
      </c>
      <c r="G145" s="558">
        <v>85501</v>
      </c>
      <c r="H145" s="558">
        <v>1594881</v>
      </c>
      <c r="I145" s="558">
        <v>134272</v>
      </c>
      <c r="J145" s="803">
        <f t="shared" si="2"/>
        <v>1729153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1:33" s="20" customFormat="1" ht="13.5" customHeight="1">
      <c r="A146" s="812"/>
      <c r="B146" s="827"/>
      <c r="C146" s="828"/>
      <c r="D146" s="807"/>
      <c r="E146" s="808"/>
      <c r="F146" s="817" t="s">
        <v>639</v>
      </c>
      <c r="G146" s="818">
        <v>0</v>
      </c>
      <c r="H146" s="818">
        <v>0</v>
      </c>
      <c r="I146" s="818">
        <v>114272</v>
      </c>
      <c r="J146" s="810">
        <f>SUM(H146:I146)</f>
        <v>114272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1:33" s="20" customFormat="1" ht="13.5" customHeight="1">
      <c r="A147" s="804"/>
      <c r="B147" s="822"/>
      <c r="C147" s="823" t="s">
        <v>250</v>
      </c>
      <c r="D147" s="807"/>
      <c r="E147" s="808"/>
      <c r="F147" s="808"/>
      <c r="G147" s="824">
        <f>SUM(G148:G151)</f>
        <v>58300</v>
      </c>
      <c r="H147" s="824">
        <f>SUM(H148:H151)</f>
        <v>448300</v>
      </c>
      <c r="I147" s="824">
        <f>SUM(I148:I151)</f>
        <v>-20000</v>
      </c>
      <c r="J147" s="810">
        <f t="shared" si="2"/>
        <v>428300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1:33" s="20" customFormat="1" ht="13.5" customHeight="1">
      <c r="A148" s="265"/>
      <c r="B148" s="245"/>
      <c r="C148" s="247"/>
      <c r="D148" s="242"/>
      <c r="E148" s="243"/>
      <c r="F148" s="99" t="s">
        <v>184</v>
      </c>
      <c r="G148" s="550">
        <v>35000</v>
      </c>
      <c r="H148" s="550">
        <v>25000</v>
      </c>
      <c r="I148" s="550">
        <v>-20000</v>
      </c>
      <c r="J148" s="679">
        <f t="shared" si="2"/>
        <v>5000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1:33" s="20" customFormat="1" ht="13.5" customHeight="1">
      <c r="A149" s="265"/>
      <c r="B149" s="245"/>
      <c r="C149" s="247"/>
      <c r="D149" s="242"/>
      <c r="E149" s="243"/>
      <c r="F149" s="290" t="s">
        <v>187</v>
      </c>
      <c r="G149" s="550">
        <v>20000</v>
      </c>
      <c r="H149" s="550">
        <v>20000</v>
      </c>
      <c r="I149" s="550">
        <v>0</v>
      </c>
      <c r="J149" s="679">
        <f t="shared" si="2"/>
        <v>20000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1:33" s="20" customFormat="1" ht="13.5" customHeight="1">
      <c r="A150" s="265"/>
      <c r="B150" s="245"/>
      <c r="C150" s="247"/>
      <c r="D150" s="242"/>
      <c r="E150" s="243"/>
      <c r="F150" s="290" t="s">
        <v>546</v>
      </c>
      <c r="G150" s="550">
        <v>0</v>
      </c>
      <c r="H150" s="550">
        <v>400000</v>
      </c>
      <c r="I150" s="550">
        <v>0</v>
      </c>
      <c r="J150" s="679">
        <f t="shared" si="2"/>
        <v>400000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1:33" s="20" customFormat="1" ht="13.5" customHeight="1">
      <c r="A151" s="264"/>
      <c r="B151" s="245"/>
      <c r="C151" s="247"/>
      <c r="D151" s="242"/>
      <c r="E151" s="243"/>
      <c r="F151" s="104" t="s">
        <v>77</v>
      </c>
      <c r="G151" s="550">
        <v>3300</v>
      </c>
      <c r="H151" s="550">
        <v>3300</v>
      </c>
      <c r="I151" s="550">
        <v>0</v>
      </c>
      <c r="J151" s="679">
        <f t="shared" si="2"/>
        <v>3300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1:33" s="20" customFormat="1" ht="13.5" customHeight="1">
      <c r="A152" s="875"/>
      <c r="B152" s="876"/>
      <c r="C152" s="877"/>
      <c r="D152" s="878"/>
      <c r="E152" s="879"/>
      <c r="F152" s="880"/>
      <c r="G152" s="872"/>
      <c r="H152" s="872"/>
      <c r="I152" s="872"/>
      <c r="J152" s="873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1:33" s="20" customFormat="1" ht="13.5" customHeight="1">
      <c r="A153" s="264"/>
      <c r="B153" s="245"/>
      <c r="C153" s="941" t="s">
        <v>253</v>
      </c>
      <c r="D153" s="941"/>
      <c r="E153" s="941"/>
      <c r="F153" s="942"/>
      <c r="G153" s="308">
        <f>SUM(G154:G155)</f>
        <v>145064</v>
      </c>
      <c r="H153" s="308">
        <f>SUM(H154:H155)</f>
        <v>145064</v>
      </c>
      <c r="I153" s="308">
        <f>SUM(I154:I155)</f>
        <v>0</v>
      </c>
      <c r="J153" s="679">
        <f t="shared" si="2"/>
        <v>145064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1:33" s="20" customFormat="1" ht="13.5" customHeight="1">
      <c r="A154" s="265"/>
      <c r="B154" s="245"/>
      <c r="C154" s="86"/>
      <c r="D154" s="86"/>
      <c r="E154" s="86"/>
      <c r="F154" s="294" t="s">
        <v>136</v>
      </c>
      <c r="G154" s="550">
        <v>145064</v>
      </c>
      <c r="H154" s="550">
        <v>145064</v>
      </c>
      <c r="I154" s="550">
        <v>0</v>
      </c>
      <c r="J154" s="679">
        <f t="shared" si="2"/>
        <v>145064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1:33" s="20" customFormat="1" ht="13.5" customHeight="1">
      <c r="A155" s="264"/>
      <c r="B155" s="245"/>
      <c r="C155" s="86"/>
      <c r="D155" s="86"/>
      <c r="E155" s="86"/>
      <c r="F155" s="294" t="s">
        <v>254</v>
      </c>
      <c r="G155" s="550">
        <v>0</v>
      </c>
      <c r="H155" s="550">
        <v>0</v>
      </c>
      <c r="I155" s="550">
        <v>0</v>
      </c>
      <c r="J155" s="679">
        <f t="shared" si="2"/>
        <v>0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1:33" s="20" customFormat="1" ht="13.5" customHeight="1">
      <c r="A156" s="265"/>
      <c r="B156" s="245"/>
      <c r="C156" s="941" t="s">
        <v>335</v>
      </c>
      <c r="D156" s="941"/>
      <c r="E156" s="941"/>
      <c r="F156" s="942"/>
      <c r="G156" s="308">
        <f>SUM(G157:G158)</f>
        <v>505332</v>
      </c>
      <c r="H156" s="308">
        <f>SUM(H157:H158)</f>
        <v>505332</v>
      </c>
      <c r="I156" s="308">
        <f>SUM(I157:I158)</f>
        <v>0</v>
      </c>
      <c r="J156" s="679">
        <f t="shared" si="2"/>
        <v>505332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1:33" s="20" customFormat="1" ht="13.5" customHeight="1">
      <c r="A157" s="265"/>
      <c r="B157" s="245"/>
      <c r="C157" s="293"/>
      <c r="D157" s="293"/>
      <c r="E157" s="293"/>
      <c r="F157" s="294" t="s">
        <v>336</v>
      </c>
      <c r="G157" s="550">
        <v>498000</v>
      </c>
      <c r="H157" s="550">
        <v>498000</v>
      </c>
      <c r="I157" s="550">
        <v>0</v>
      </c>
      <c r="J157" s="679">
        <f t="shared" si="2"/>
        <v>498000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1:33" s="20" customFormat="1" ht="13.5" customHeight="1">
      <c r="A158" s="265"/>
      <c r="B158" s="245"/>
      <c r="C158" s="293"/>
      <c r="D158" s="293"/>
      <c r="E158" s="293"/>
      <c r="F158" s="294" t="s">
        <v>337</v>
      </c>
      <c r="G158" s="550">
        <v>7332</v>
      </c>
      <c r="H158" s="550">
        <v>7332</v>
      </c>
      <c r="I158" s="550">
        <v>0</v>
      </c>
      <c r="J158" s="679">
        <f t="shared" si="2"/>
        <v>7332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1:33" s="20" customFormat="1" ht="13.5" customHeight="1">
      <c r="A159" s="265"/>
      <c r="B159" s="245"/>
      <c r="C159" s="302" t="s">
        <v>137</v>
      </c>
      <c r="D159" s="296"/>
      <c r="E159" s="296"/>
      <c r="F159" s="297"/>
      <c r="G159" s="308">
        <f>SUM(G160:G162)</f>
        <v>1453639</v>
      </c>
      <c r="H159" s="308">
        <f>SUM(H160:H162)</f>
        <v>5868431</v>
      </c>
      <c r="I159" s="308">
        <f>SUM(I160:I162)</f>
        <v>-533793</v>
      </c>
      <c r="J159" s="679">
        <f t="shared" si="2"/>
        <v>5334638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1:33" s="20" customFormat="1" ht="13.5" customHeight="1">
      <c r="A160" s="265"/>
      <c r="B160" s="245"/>
      <c r="C160" s="313"/>
      <c r="D160" s="296"/>
      <c r="E160" s="296"/>
      <c r="F160" s="294" t="s">
        <v>255</v>
      </c>
      <c r="G160" s="550">
        <v>628235</v>
      </c>
      <c r="H160" s="550">
        <v>0</v>
      </c>
      <c r="I160" s="550">
        <v>0</v>
      </c>
      <c r="J160" s="679">
        <f t="shared" si="2"/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1:33" s="20" customFormat="1" ht="13.5" customHeight="1">
      <c r="A161" s="265"/>
      <c r="B161" s="245"/>
      <c r="C161" s="303"/>
      <c r="D161" s="316"/>
      <c r="E161" s="316"/>
      <c r="F161" s="304" t="s">
        <v>426</v>
      </c>
      <c r="G161" s="550">
        <v>62000</v>
      </c>
      <c r="H161" s="550">
        <v>24598</v>
      </c>
      <c r="I161" s="550">
        <v>-13413</v>
      </c>
      <c r="J161" s="679">
        <f t="shared" si="2"/>
        <v>11185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1:33" s="20" customFormat="1" ht="13.5" customHeight="1">
      <c r="A162" s="265"/>
      <c r="B162" s="245"/>
      <c r="C162" s="319"/>
      <c r="D162" s="320"/>
      <c r="E162" s="320"/>
      <c r="F162" s="305" t="s">
        <v>256</v>
      </c>
      <c r="G162" s="550">
        <v>763404</v>
      </c>
      <c r="H162" s="550">
        <v>5843833</v>
      </c>
      <c r="I162" s="550">
        <v>-520380</v>
      </c>
      <c r="J162" s="679">
        <f t="shared" si="2"/>
        <v>5323453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1:33" s="20" customFormat="1" ht="13.5" customHeight="1">
      <c r="A163" s="324" t="s">
        <v>401</v>
      </c>
      <c r="B163" s="325" t="s">
        <v>252</v>
      </c>
      <c r="C163" s="326"/>
      <c r="D163" s="228" t="e">
        <f>SUM(D164,#REF!,#REF!,#REF!,#REF!,#REF!,D181)</f>
        <v>#REF!</v>
      </c>
      <c r="E163" s="228" t="e">
        <f>SUM(E164,#REF!,#REF!,#REF!,#REF!,#REF!,E181)</f>
        <v>#REF!</v>
      </c>
      <c r="F163" s="228"/>
      <c r="G163" s="330">
        <f>SUM(G164,G165,G170)</f>
        <v>0</v>
      </c>
      <c r="H163" s="330">
        <f>SUM(H164,H165,H170)</f>
        <v>21283</v>
      </c>
      <c r="I163" s="330">
        <f>SUM(I164,I165,I170)</f>
        <v>0</v>
      </c>
      <c r="J163" s="678">
        <f t="shared" si="2"/>
        <v>21283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1:33" s="20" customFormat="1" ht="13.5" customHeight="1">
      <c r="A164" s="264"/>
      <c r="B164" s="248"/>
      <c r="C164" s="99" t="s">
        <v>3</v>
      </c>
      <c r="D164" s="242">
        <v>211132</v>
      </c>
      <c r="E164" s="243">
        <v>223678</v>
      </c>
      <c r="F164" s="241"/>
      <c r="G164" s="550">
        <v>0</v>
      </c>
      <c r="H164" s="550">
        <v>12349</v>
      </c>
      <c r="I164" s="550">
        <v>0</v>
      </c>
      <c r="J164" s="679">
        <f t="shared" si="2"/>
        <v>12349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1:33" s="20" customFormat="1" ht="13.5" customHeight="1">
      <c r="A165" s="292"/>
      <c r="B165" s="245"/>
      <c r="C165" s="99" t="s">
        <v>4</v>
      </c>
      <c r="D165" s="237">
        <f>SUM(D170:D170)</f>
        <v>0</v>
      </c>
      <c r="E165" s="238">
        <f>SUM(E170:E170)</f>
        <v>0</v>
      </c>
      <c r="F165" s="239"/>
      <c r="G165" s="291">
        <f>SUM(G166:G169)</f>
        <v>0</v>
      </c>
      <c r="H165" s="291">
        <f>SUM(H166:H169)</f>
        <v>3784</v>
      </c>
      <c r="I165" s="291">
        <f>SUM(I166:I169)</f>
        <v>0</v>
      </c>
      <c r="J165" s="679">
        <f t="shared" si="2"/>
        <v>3784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1:33" s="20" customFormat="1" ht="13.5" customHeight="1">
      <c r="A166" s="292"/>
      <c r="B166" s="245"/>
      <c r="C166" s="99"/>
      <c r="D166" s="237"/>
      <c r="E166" s="238"/>
      <c r="F166" s="458" t="s">
        <v>375</v>
      </c>
      <c r="G166" s="291">
        <v>0</v>
      </c>
      <c r="H166" s="291">
        <v>3547</v>
      </c>
      <c r="I166" s="291">
        <v>0</v>
      </c>
      <c r="J166" s="679">
        <f t="shared" si="2"/>
        <v>3547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1:33" s="20" customFormat="1" ht="13.5" customHeight="1">
      <c r="A167" s="292"/>
      <c r="B167" s="245"/>
      <c r="C167" s="99"/>
      <c r="D167" s="237"/>
      <c r="E167" s="238"/>
      <c r="F167" s="458" t="s">
        <v>212</v>
      </c>
      <c r="G167" s="291">
        <v>0</v>
      </c>
      <c r="H167" s="291">
        <v>230</v>
      </c>
      <c r="I167" s="291">
        <v>0</v>
      </c>
      <c r="J167" s="679">
        <f t="shared" si="2"/>
        <v>230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1:33" s="20" customFormat="1" ht="13.5" customHeight="1">
      <c r="A168" s="292"/>
      <c r="B168" s="245"/>
      <c r="C168" s="99"/>
      <c r="D168" s="237"/>
      <c r="E168" s="238"/>
      <c r="F168" s="458" t="s">
        <v>213</v>
      </c>
      <c r="G168" s="291">
        <v>0</v>
      </c>
      <c r="H168" s="291">
        <v>7</v>
      </c>
      <c r="I168" s="291">
        <v>0</v>
      </c>
      <c r="J168" s="679">
        <f t="shared" si="2"/>
        <v>7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1:33" s="20" customFormat="1" ht="13.5" customHeight="1">
      <c r="A169" s="292"/>
      <c r="B169" s="245"/>
      <c r="C169" s="99"/>
      <c r="D169" s="237"/>
      <c r="E169" s="238"/>
      <c r="F169" s="458" t="s">
        <v>374</v>
      </c>
      <c r="G169" s="291">
        <v>0</v>
      </c>
      <c r="H169" s="291">
        <v>0</v>
      </c>
      <c r="I169" s="291">
        <v>0</v>
      </c>
      <c r="J169" s="679">
        <f t="shared" si="2"/>
        <v>0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1:33" s="20" customFormat="1" ht="13.5" customHeight="1">
      <c r="A170" s="292"/>
      <c r="B170" s="245"/>
      <c r="C170" s="99" t="s">
        <v>5</v>
      </c>
      <c r="D170" s="242"/>
      <c r="E170" s="243"/>
      <c r="F170" s="241"/>
      <c r="G170" s="77">
        <v>0</v>
      </c>
      <c r="H170" s="77">
        <v>5150</v>
      </c>
      <c r="I170" s="77">
        <v>0</v>
      </c>
      <c r="J170" s="679">
        <f t="shared" si="2"/>
        <v>5150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1:33" s="20" customFormat="1" ht="13.5" customHeight="1">
      <c r="A171" s="324" t="s">
        <v>402</v>
      </c>
      <c r="B171" s="325" t="s">
        <v>640</v>
      </c>
      <c r="C171" s="326"/>
      <c r="D171" s="228" t="e">
        <f>SUM(D172,#REF!,#REF!,#REF!,#REF!,#REF!,D189)</f>
        <v>#REF!</v>
      </c>
      <c r="E171" s="228" t="e">
        <f>SUM(E172,#REF!,#REF!,#REF!,#REF!,#REF!,E189)</f>
        <v>#REF!</v>
      </c>
      <c r="F171" s="228"/>
      <c r="G171" s="330">
        <f>SUM(G172,G173,G178)</f>
        <v>0</v>
      </c>
      <c r="H171" s="330">
        <f>SUM(H172,H173,H178)</f>
        <v>0</v>
      </c>
      <c r="I171" s="330">
        <f>SUM(I172,I173,I178)</f>
        <v>1892</v>
      </c>
      <c r="J171" s="678">
        <f aca="true" t="shared" si="3" ref="J171:J178">SUM(H171:I171)</f>
        <v>1892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1:33" s="20" customFormat="1" ht="13.5" customHeight="1">
      <c r="A172" s="264"/>
      <c r="B172" s="248"/>
      <c r="C172" s="99" t="s">
        <v>3</v>
      </c>
      <c r="D172" s="242">
        <v>211132</v>
      </c>
      <c r="E172" s="243">
        <v>223678</v>
      </c>
      <c r="F172" s="241"/>
      <c r="G172" s="550">
        <v>0</v>
      </c>
      <c r="H172" s="550">
        <v>0</v>
      </c>
      <c r="I172" s="550">
        <v>0</v>
      </c>
      <c r="J172" s="679">
        <f t="shared" si="3"/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1:33" s="20" customFormat="1" ht="13.5" customHeight="1">
      <c r="A173" s="292"/>
      <c r="B173" s="245"/>
      <c r="C173" s="99" t="s">
        <v>4</v>
      </c>
      <c r="D173" s="237">
        <f>SUM(D178:D178)</f>
        <v>0</v>
      </c>
      <c r="E173" s="238">
        <f>SUM(E178:E178)</f>
        <v>0</v>
      </c>
      <c r="F173" s="239"/>
      <c r="G173" s="291">
        <f>SUM(G174:G177)</f>
        <v>0</v>
      </c>
      <c r="H173" s="291">
        <f>SUM(H174:H177)</f>
        <v>0</v>
      </c>
      <c r="I173" s="291">
        <f>SUM(I174:I177)</f>
        <v>0</v>
      </c>
      <c r="J173" s="679">
        <f t="shared" si="3"/>
        <v>0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1:33" s="20" customFormat="1" ht="13.5" customHeight="1">
      <c r="A174" s="292"/>
      <c r="B174" s="245"/>
      <c r="C174" s="99"/>
      <c r="D174" s="237"/>
      <c r="E174" s="238"/>
      <c r="F174" s="458" t="s">
        <v>375</v>
      </c>
      <c r="G174" s="291">
        <v>0</v>
      </c>
      <c r="H174" s="291">
        <v>0</v>
      </c>
      <c r="I174" s="291">
        <v>0</v>
      </c>
      <c r="J174" s="679">
        <f t="shared" si="3"/>
        <v>0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1:33" s="20" customFormat="1" ht="13.5" customHeight="1">
      <c r="A175" s="292"/>
      <c r="B175" s="245"/>
      <c r="C175" s="99"/>
      <c r="D175" s="237"/>
      <c r="E175" s="238"/>
      <c r="F175" s="458" t="s">
        <v>212</v>
      </c>
      <c r="G175" s="291">
        <v>0</v>
      </c>
      <c r="H175" s="291">
        <v>0</v>
      </c>
      <c r="I175" s="291">
        <v>0</v>
      </c>
      <c r="J175" s="679">
        <f t="shared" si="3"/>
        <v>0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1:33" s="20" customFormat="1" ht="13.5" customHeight="1">
      <c r="A176" s="292"/>
      <c r="B176" s="245"/>
      <c r="C176" s="99"/>
      <c r="D176" s="237"/>
      <c r="E176" s="238"/>
      <c r="F176" s="458" t="s">
        <v>213</v>
      </c>
      <c r="G176" s="291">
        <v>0</v>
      </c>
      <c r="H176" s="291">
        <v>0</v>
      </c>
      <c r="I176" s="291">
        <v>0</v>
      </c>
      <c r="J176" s="679">
        <f t="shared" si="3"/>
        <v>0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1:33" s="20" customFormat="1" ht="13.5" customHeight="1">
      <c r="A177" s="292"/>
      <c r="B177" s="245"/>
      <c r="C177" s="99"/>
      <c r="D177" s="237"/>
      <c r="E177" s="238"/>
      <c r="F177" s="458" t="s">
        <v>374</v>
      </c>
      <c r="G177" s="291">
        <v>0</v>
      </c>
      <c r="H177" s="291">
        <v>0</v>
      </c>
      <c r="I177" s="291">
        <v>0</v>
      </c>
      <c r="J177" s="679">
        <f t="shared" si="3"/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1:33" s="20" customFormat="1" ht="13.5" customHeight="1">
      <c r="A178" s="292"/>
      <c r="B178" s="245"/>
      <c r="C178" s="99" t="s">
        <v>5</v>
      </c>
      <c r="D178" s="242"/>
      <c r="E178" s="243"/>
      <c r="F178" s="241"/>
      <c r="G178" s="77">
        <v>0</v>
      </c>
      <c r="H178" s="77">
        <v>0</v>
      </c>
      <c r="I178" s="77">
        <v>1892</v>
      </c>
      <c r="J178" s="679">
        <f t="shared" si="3"/>
        <v>1892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1:33" s="20" customFormat="1" ht="13.5" customHeight="1">
      <c r="A179" s="263" t="s">
        <v>402</v>
      </c>
      <c r="B179" s="96" t="s">
        <v>236</v>
      </c>
      <c r="C179" s="97"/>
      <c r="D179" s="89" t="e">
        <f>SUM(D180,D182,#REF!,#REF!,D192,D195,D196)</f>
        <v>#REF!</v>
      </c>
      <c r="E179" s="89" t="e">
        <f>SUM(E180,E182,#REF!,#REF!,E192,E195,E196)</f>
        <v>#REF!</v>
      </c>
      <c r="F179" s="89"/>
      <c r="G179" s="389">
        <f>SUM(G180)</f>
        <v>7528303</v>
      </c>
      <c r="H179" s="389">
        <f>SUM(H180)</f>
        <v>8322090</v>
      </c>
      <c r="I179" s="389">
        <f>SUM(I180)</f>
        <v>50956</v>
      </c>
      <c r="J179" s="678">
        <f t="shared" si="2"/>
        <v>8373046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1:33" s="20" customFormat="1" ht="13.5" customHeight="1">
      <c r="A180" s="98"/>
      <c r="B180" s="245"/>
      <c r="C180" s="302" t="s">
        <v>138</v>
      </c>
      <c r="D180" s="242"/>
      <c r="E180" s="243"/>
      <c r="F180" s="241"/>
      <c r="G180" s="368">
        <f>SUM('3.számú melléklet'!C48)</f>
        <v>7528303</v>
      </c>
      <c r="H180" s="368">
        <f>SUM('3.számú melléklet'!D48)</f>
        <v>8322090</v>
      </c>
      <c r="I180" s="368">
        <f>SUM('3.számú melléklet'!E48)</f>
        <v>50956</v>
      </c>
      <c r="J180" s="679">
        <f t="shared" si="2"/>
        <v>8373046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1:33" s="23" customFormat="1" ht="13.5" customHeight="1">
      <c r="A181" s="262" t="s">
        <v>404</v>
      </c>
      <c r="B181" s="96" t="s">
        <v>58</v>
      </c>
      <c r="C181" s="254"/>
      <c r="D181" s="255" t="e">
        <f>SUM(D182,D183,#REF!,D191,D192,D193,D195)</f>
        <v>#REF!</v>
      </c>
      <c r="E181" s="255" t="e">
        <f>SUM(E182,E183,#REF!,E191,E192,E193,E195)</f>
        <v>#REF!</v>
      </c>
      <c r="F181" s="250"/>
      <c r="G181" s="369">
        <f>SUM(G182,G184,G191,G192,G195,G199,G200,G201,G202,G203,G204,G205,G206,G207,G211,G217,G220,G223,G227)</f>
        <v>15080828</v>
      </c>
      <c r="H181" s="369">
        <f>SUM(H182,H184,H191,H192,H195,H199,H200,H201,H202,H203,H204,H205,H206,H207,H211,H217,H220,H223,H227)</f>
        <v>27549720</v>
      </c>
      <c r="I181" s="369">
        <f>SUM(I182,I184,I191,I192,I195,I199,I200,I201,I202,I203,I204,I205,I206,I207,I211,I217,I220,I223,I227)</f>
        <v>299390</v>
      </c>
      <c r="J181" s="678">
        <f t="shared" si="2"/>
        <v>27849110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</row>
    <row r="182" spans="1:10" ht="13.5" customHeight="1">
      <c r="A182" s="265"/>
      <c r="B182" s="234"/>
      <c r="C182" s="99" t="s">
        <v>3</v>
      </c>
      <c r="D182" s="237" t="e">
        <f>SUM(D121,#REF!,#REF!,D107,#REF!,#REF!,D44,D26,#REF!,#REF!)</f>
        <v>#REF!</v>
      </c>
      <c r="E182" s="237" t="e">
        <f>SUM(E26,E44,#REF!,E107,#REF!,#REF!,E121)</f>
        <v>#REF!</v>
      </c>
      <c r="F182" s="251"/>
      <c r="G182" s="93">
        <f>SUM(G26,G44,G107,G121,G94,G164,G172)</f>
        <v>918268</v>
      </c>
      <c r="H182" s="93">
        <f>SUM(H26,H44,H107,H121,H94,H164,H172)</f>
        <v>1018833</v>
      </c>
      <c r="I182" s="93">
        <f>SUM(I26,I44,I107,I121,I94,I164,I172)</f>
        <v>-4547</v>
      </c>
      <c r="J182" s="679">
        <f t="shared" si="2"/>
        <v>1014286</v>
      </c>
    </row>
    <row r="183" spans="1:10" ht="13.5" customHeight="1">
      <c r="A183" s="265"/>
      <c r="B183" s="223"/>
      <c r="C183" s="233"/>
      <c r="D183" s="237" t="e">
        <f>SUM(D184:D185)</f>
        <v>#REF!</v>
      </c>
      <c r="E183" s="237" t="e">
        <f>SUM(E184:E185)</f>
        <v>#REF!</v>
      </c>
      <c r="F183" s="101" t="s">
        <v>72</v>
      </c>
      <c r="G183" s="95">
        <f>SUM(G122)</f>
        <v>93677</v>
      </c>
      <c r="H183" s="95">
        <f>SUM(H122)</f>
        <v>93677</v>
      </c>
      <c r="I183" s="95">
        <f>SUM(I122)</f>
        <v>0</v>
      </c>
      <c r="J183" s="679">
        <f t="shared" si="2"/>
        <v>93677</v>
      </c>
    </row>
    <row r="184" spans="1:10" ht="13.5" customHeight="1">
      <c r="A184" s="265"/>
      <c r="B184" s="234"/>
      <c r="C184" s="99" t="s">
        <v>4</v>
      </c>
      <c r="D184" s="237" t="e">
        <f>SUM(#REF!,#REF!,#REF!,#REF!,#REF!,#REF!,D66,#REF!,#REF!,#REF!,#REF!,#REF!)</f>
        <v>#REF!</v>
      </c>
      <c r="E184" s="237" t="e">
        <f>SUM(#REF!,#REF!,#REF!,E66,#REF!,#REF!,#REF!,#REF!,#REF!)</f>
        <v>#REF!</v>
      </c>
      <c r="F184" s="251"/>
      <c r="G184" s="93">
        <f>SUM(G186:G190)</f>
        <v>292269</v>
      </c>
      <c r="H184" s="93">
        <f>SUM(H186:H190)</f>
        <v>324034</v>
      </c>
      <c r="I184" s="93">
        <f>SUM(I186:I190)</f>
        <v>-1398</v>
      </c>
      <c r="J184" s="679">
        <f t="shared" si="2"/>
        <v>322636</v>
      </c>
    </row>
    <row r="185" spans="1:10" ht="13.5" customHeight="1">
      <c r="A185" s="265"/>
      <c r="B185" s="223"/>
      <c r="C185" s="233"/>
      <c r="D185" s="237" t="e">
        <f>SUM(#REF!,#REF!,#REF!,#REF!,#REF!,#REF!,#REF!,#REF!)</f>
        <v>#REF!</v>
      </c>
      <c r="E185" s="237" t="e">
        <f>SUM(#REF!,#REF!,#REF!,#REF!,#REF!,#REF!,#REF!)</f>
        <v>#REF!</v>
      </c>
      <c r="F185" s="101" t="s">
        <v>72</v>
      </c>
      <c r="G185" s="95">
        <f>SUM(G124)</f>
        <v>26977</v>
      </c>
      <c r="H185" s="95">
        <f>SUM(H124)</f>
        <v>26977</v>
      </c>
      <c r="I185" s="95">
        <f>SUM(I124)</f>
        <v>0</v>
      </c>
      <c r="J185" s="679">
        <f t="shared" si="2"/>
        <v>26977</v>
      </c>
    </row>
    <row r="186" spans="1:10" ht="13.5" customHeight="1">
      <c r="A186" s="265"/>
      <c r="B186" s="223"/>
      <c r="C186" s="233"/>
      <c r="D186" s="237"/>
      <c r="E186" s="237"/>
      <c r="F186" s="458" t="s">
        <v>375</v>
      </c>
      <c r="G186" s="93">
        <f aca="true" t="shared" si="4" ref="G186:I189">SUM(G28,G46,G96,G109,G125,G166,G174)</f>
        <v>247565</v>
      </c>
      <c r="H186" s="93">
        <f t="shared" si="4"/>
        <v>276461</v>
      </c>
      <c r="I186" s="93">
        <f t="shared" si="4"/>
        <v>-1256</v>
      </c>
      <c r="J186" s="679">
        <f t="shared" si="2"/>
        <v>275205</v>
      </c>
    </row>
    <row r="187" spans="1:10" ht="13.5" customHeight="1">
      <c r="A187" s="265"/>
      <c r="B187" s="223"/>
      <c r="C187" s="233"/>
      <c r="D187" s="237"/>
      <c r="E187" s="237"/>
      <c r="F187" s="458" t="s">
        <v>212</v>
      </c>
      <c r="G187" s="93">
        <f t="shared" si="4"/>
        <v>21886</v>
      </c>
      <c r="H187" s="93">
        <f t="shared" si="4"/>
        <v>24665</v>
      </c>
      <c r="I187" s="93">
        <f t="shared" si="4"/>
        <v>-130</v>
      </c>
      <c r="J187" s="679">
        <f t="shared" si="2"/>
        <v>24535</v>
      </c>
    </row>
    <row r="188" spans="1:10" ht="13.5" customHeight="1">
      <c r="A188" s="265"/>
      <c r="B188" s="223"/>
      <c r="C188" s="233"/>
      <c r="D188" s="237"/>
      <c r="E188" s="237"/>
      <c r="F188" s="458" t="s">
        <v>213</v>
      </c>
      <c r="G188" s="93">
        <f t="shared" si="4"/>
        <v>5573</v>
      </c>
      <c r="H188" s="93">
        <f t="shared" si="4"/>
        <v>5663</v>
      </c>
      <c r="I188" s="93">
        <f t="shared" si="4"/>
        <v>-12</v>
      </c>
      <c r="J188" s="679">
        <f t="shared" si="2"/>
        <v>5651</v>
      </c>
    </row>
    <row r="189" spans="1:10" ht="13.5" customHeight="1">
      <c r="A189" s="265"/>
      <c r="B189" s="223"/>
      <c r="C189" s="233"/>
      <c r="D189" s="237"/>
      <c r="E189" s="237"/>
      <c r="F189" s="458" t="s">
        <v>374</v>
      </c>
      <c r="G189" s="93">
        <f t="shared" si="4"/>
        <v>2245</v>
      </c>
      <c r="H189" s="93">
        <f t="shared" si="4"/>
        <v>2245</v>
      </c>
      <c r="I189" s="93">
        <f t="shared" si="4"/>
        <v>0</v>
      </c>
      <c r="J189" s="679">
        <f t="shared" si="2"/>
        <v>2245</v>
      </c>
    </row>
    <row r="190" spans="1:10" ht="13.5" customHeight="1">
      <c r="A190" s="265"/>
      <c r="B190" s="223"/>
      <c r="C190" s="233"/>
      <c r="D190" s="237"/>
      <c r="E190" s="237"/>
      <c r="F190" s="458" t="s">
        <v>9</v>
      </c>
      <c r="G190" s="93">
        <f>SUM(G66,G69)</f>
        <v>15000</v>
      </c>
      <c r="H190" s="93">
        <f>SUM(H66,H69)</f>
        <v>15000</v>
      </c>
      <c r="I190" s="93">
        <f>SUM(I66,I69)</f>
        <v>0</v>
      </c>
      <c r="J190" s="679">
        <f t="shared" si="2"/>
        <v>15000</v>
      </c>
    </row>
    <row r="191" spans="1:10" ht="13.5" customHeight="1">
      <c r="A191" s="265"/>
      <c r="B191" s="234"/>
      <c r="C191" s="99" t="s">
        <v>5</v>
      </c>
      <c r="D191" s="237" t="e">
        <f>SUM(#REF!,#REF!,D114,#REF!,D36,#REF!,#REF!)</f>
        <v>#REF!</v>
      </c>
      <c r="E191" s="237" t="e">
        <f>SUM(#REF!)</f>
        <v>#REF!</v>
      </c>
      <c r="F191" s="251"/>
      <c r="G191" s="93">
        <f>SUM(G11,G17,G24,G32,G35,G39,G50,G54,G61,G84,G101,G113,G129,G170,G178)</f>
        <v>2253266</v>
      </c>
      <c r="H191" s="93">
        <f>SUM(H11,H17,H24,H32,H35,H39,H50,H54,H61,H84,H101,H113,H129,H170,H178)</f>
        <v>5271596</v>
      </c>
      <c r="I191" s="93">
        <f>SUM(I11,I17,I24,I32,I35,I39,I50,I54,I61,I84,I101,I113,I129,I170,I178)</f>
        <v>-391792</v>
      </c>
      <c r="J191" s="679">
        <f t="shared" si="2"/>
        <v>4879804</v>
      </c>
    </row>
    <row r="192" spans="1:10" ht="13.5" customHeight="1">
      <c r="A192" s="799"/>
      <c r="B192" s="391"/>
      <c r="C192" s="283" t="s">
        <v>466</v>
      </c>
      <c r="D192" s="829" t="e">
        <f>D131+#REF!</f>
        <v>#REF!</v>
      </c>
      <c r="E192" s="829" t="e">
        <f>E131+#REF!+E36+#REF!+E114+#REF!</f>
        <v>#REF!</v>
      </c>
      <c r="F192" s="830"/>
      <c r="G192" s="830">
        <f>SUM(G114,G130,G102)</f>
        <v>58500</v>
      </c>
      <c r="H192" s="830">
        <f>SUM(H114,H130,H102)</f>
        <v>64040</v>
      </c>
      <c r="I192" s="830">
        <f>SUM(I114,I130,I102)</f>
        <v>402821</v>
      </c>
      <c r="J192" s="803">
        <f t="shared" si="2"/>
        <v>466861</v>
      </c>
    </row>
    <row r="193" spans="1:10" ht="13.5" customHeight="1">
      <c r="A193" s="811"/>
      <c r="B193" s="813"/>
      <c r="C193" s="834"/>
      <c r="D193" s="829" t="e">
        <f>D62+#REF!+D67+#REF!+D81+D85+#REF!+D134+#REF!+D82</f>
        <v>#REF!</v>
      </c>
      <c r="E193" s="829" t="e">
        <f>E62+#REF!+E67+#REF!+E81+E85+#REF!+E134+#REF!+E82</f>
        <v>#REF!</v>
      </c>
      <c r="F193" s="814" t="s">
        <v>186</v>
      </c>
      <c r="G193" s="113">
        <f>SUM(G114,G131,G102)</f>
        <v>58500</v>
      </c>
      <c r="H193" s="113">
        <f>SUM(H114,H131,H102)</f>
        <v>64040</v>
      </c>
      <c r="I193" s="113">
        <f>SUM(I114,I131,I102)</f>
        <v>402821</v>
      </c>
      <c r="J193" s="803">
        <f t="shared" si="2"/>
        <v>466861</v>
      </c>
    </row>
    <row r="194" spans="1:10" ht="13.5" customHeight="1">
      <c r="A194" s="812"/>
      <c r="B194" s="815"/>
      <c r="C194" s="835"/>
      <c r="D194" s="831"/>
      <c r="E194" s="831"/>
      <c r="F194" s="817" t="s">
        <v>639</v>
      </c>
      <c r="G194" s="833">
        <f>SUM(G132)</f>
        <v>0</v>
      </c>
      <c r="H194" s="833">
        <f>SUM(H132)</f>
        <v>0</v>
      </c>
      <c r="I194" s="833">
        <f>SUM(I132)</f>
        <v>402821</v>
      </c>
      <c r="J194" s="810">
        <f>SUM(H194:I194)</f>
        <v>402821</v>
      </c>
    </row>
    <row r="195" spans="1:10" ht="13.5" customHeight="1">
      <c r="A195" s="804"/>
      <c r="B195" s="805"/>
      <c r="C195" s="823" t="s">
        <v>135</v>
      </c>
      <c r="D195" s="831" t="e">
        <f>SUM(D196:D224)</f>
        <v>#REF!</v>
      </c>
      <c r="E195" s="831" t="e">
        <f>SUM(E196:E224)</f>
        <v>#REF!</v>
      </c>
      <c r="F195" s="832"/>
      <c r="G195" s="833">
        <f>SUM(G196:G198)</f>
        <v>372119</v>
      </c>
      <c r="H195" s="833">
        <f>SUM(H196:H198)</f>
        <v>391685</v>
      </c>
      <c r="I195" s="833">
        <f>SUM(I196:I198)</f>
        <v>-25756</v>
      </c>
      <c r="J195" s="810">
        <f t="shared" si="2"/>
        <v>365929</v>
      </c>
    </row>
    <row r="196" spans="1:10" ht="13.5" customHeight="1">
      <c r="A196" s="265"/>
      <c r="B196" s="245"/>
      <c r="C196" s="233"/>
      <c r="D196" s="237" t="e">
        <f>SUM(D136,#REF!,D118,#REF!,#REF!,#REF!,D33)</f>
        <v>#REF!</v>
      </c>
      <c r="E196" s="237" t="e">
        <f>SUM(E136,E33,#REF!,#REF!)</f>
        <v>#REF!</v>
      </c>
      <c r="F196" s="100" t="s">
        <v>184</v>
      </c>
      <c r="G196" s="93">
        <f>SUM(G116,G134,G104)</f>
        <v>124670</v>
      </c>
      <c r="H196" s="93">
        <f>SUM(H116,H134,H104)</f>
        <v>131224</v>
      </c>
      <c r="I196" s="93">
        <f>SUM(I116,I134,I104)</f>
        <v>11396</v>
      </c>
      <c r="J196" s="679">
        <f t="shared" si="2"/>
        <v>142620</v>
      </c>
    </row>
    <row r="197" spans="1:10" ht="13.5" customHeight="1">
      <c r="A197" s="265"/>
      <c r="B197" s="245"/>
      <c r="C197" s="233"/>
      <c r="D197" s="237" t="e">
        <f>#REF!+D137</f>
        <v>#REF!</v>
      </c>
      <c r="E197" s="237" t="e">
        <f>SUM(E137,#REF!)</f>
        <v>#REF!</v>
      </c>
      <c r="F197" s="100" t="s">
        <v>463</v>
      </c>
      <c r="G197" s="251">
        <f>SUM(G135,G12,G105)</f>
        <v>247354</v>
      </c>
      <c r="H197" s="251">
        <f>SUM(H135,H12,H105)</f>
        <v>260366</v>
      </c>
      <c r="I197" s="251">
        <f>SUM(I135,I12,I105)</f>
        <v>-37152</v>
      </c>
      <c r="J197" s="679">
        <f t="shared" si="2"/>
        <v>223214</v>
      </c>
    </row>
    <row r="198" spans="1:10" ht="13.5" customHeight="1">
      <c r="A198" s="265"/>
      <c r="B198" s="98"/>
      <c r="C198" s="233"/>
      <c r="D198" s="237" t="e">
        <f>SUM(#REF!)</f>
        <v>#REF!</v>
      </c>
      <c r="E198" s="237" t="e">
        <f>SUM(#REF!)</f>
        <v>#REF!</v>
      </c>
      <c r="F198" s="103" t="s">
        <v>185</v>
      </c>
      <c r="G198" s="251">
        <f>SUM(G136,G117)</f>
        <v>95</v>
      </c>
      <c r="H198" s="251">
        <f>SUM(H136,H117)</f>
        <v>95</v>
      </c>
      <c r="I198" s="251">
        <f>SUM(I136,I117)</f>
        <v>0</v>
      </c>
      <c r="J198" s="679">
        <f t="shared" si="2"/>
        <v>95</v>
      </c>
    </row>
    <row r="199" spans="1:10" ht="13.5" customHeight="1">
      <c r="A199" s="264"/>
      <c r="B199" s="234"/>
      <c r="C199" s="102" t="s">
        <v>73</v>
      </c>
      <c r="D199" s="237"/>
      <c r="E199" s="237"/>
      <c r="F199" s="251"/>
      <c r="G199" s="117">
        <f>SUM(G62:G64,G67,G70,G71,G72,G73,G75,G76,G78,G79,G81,G82,G85,G86,G87,G88,G90,G91,G92,G100,G137)</f>
        <v>566495</v>
      </c>
      <c r="H199" s="117">
        <f>SUM(H62:H64,H67,H70,H71,H72,H73,H75,H76,H78,H79,H81,H82,H85,H86,H87,H88,H90,H91,H92,H100,H137)</f>
        <v>569160</v>
      </c>
      <c r="I199" s="117">
        <f>SUM(I62:I64,I67,I70,I71,I72,I73,I75,I76,I78,I79,I81,I82,I85,I86,I87,I88,I90,I91,I92,I100,I137)</f>
        <v>-6666</v>
      </c>
      <c r="J199" s="679">
        <f t="shared" si="2"/>
        <v>562494</v>
      </c>
    </row>
    <row r="200" spans="1:10" ht="13.5" customHeight="1">
      <c r="A200" s="266"/>
      <c r="B200" s="234"/>
      <c r="C200" s="102" t="s">
        <v>6</v>
      </c>
      <c r="D200" s="256"/>
      <c r="E200" s="86"/>
      <c r="F200" s="88"/>
      <c r="G200" s="252">
        <f>SUM(G138)</f>
        <v>2000</v>
      </c>
      <c r="H200" s="252">
        <f>SUM(H138)</f>
        <v>22000</v>
      </c>
      <c r="I200" s="252">
        <f>SUM(I138)</f>
        <v>0</v>
      </c>
      <c r="J200" s="679">
        <f t="shared" si="2"/>
        <v>22000</v>
      </c>
    </row>
    <row r="201" spans="1:10" ht="13.5" customHeight="1">
      <c r="A201" s="266"/>
      <c r="B201" s="234"/>
      <c r="C201" s="206" t="s">
        <v>411</v>
      </c>
      <c r="D201" s="256"/>
      <c r="E201" s="86"/>
      <c r="F201" s="88"/>
      <c r="G201" s="252">
        <f>SUM(G139,G55)</f>
        <v>51500</v>
      </c>
      <c r="H201" s="252">
        <f>SUM(H139,H55)</f>
        <v>71566</v>
      </c>
      <c r="I201" s="252">
        <f>SUM(I139,I55)</f>
        <v>0</v>
      </c>
      <c r="J201" s="679">
        <f t="shared" si="2"/>
        <v>71566</v>
      </c>
    </row>
    <row r="202" spans="1:10" ht="13.5" customHeight="1">
      <c r="A202" s="266"/>
      <c r="B202" s="234"/>
      <c r="C202" s="102" t="s">
        <v>66</v>
      </c>
      <c r="D202" s="256"/>
      <c r="E202" s="86"/>
      <c r="F202" s="88"/>
      <c r="G202" s="252">
        <f>SUM(G21)</f>
        <v>0</v>
      </c>
      <c r="H202" s="252">
        <f>SUM(H21)</f>
        <v>0</v>
      </c>
      <c r="I202" s="252">
        <f>SUM(I21)</f>
        <v>349858</v>
      </c>
      <c r="J202" s="679">
        <f t="shared" si="2"/>
        <v>349858</v>
      </c>
    </row>
    <row r="203" spans="1:10" ht="13.5" customHeight="1">
      <c r="A203" s="266"/>
      <c r="B203" s="234"/>
      <c r="C203" s="102" t="s">
        <v>65</v>
      </c>
      <c r="D203" s="256"/>
      <c r="E203" s="86"/>
      <c r="F203" s="88"/>
      <c r="G203" s="252">
        <f>SUM(G13,G140)</f>
        <v>10000</v>
      </c>
      <c r="H203" s="252">
        <f>SUM(H13,H140)</f>
        <v>62317</v>
      </c>
      <c r="I203" s="252">
        <f>SUM(I13,I140)</f>
        <v>176079</v>
      </c>
      <c r="J203" s="679">
        <f t="shared" si="2"/>
        <v>238396</v>
      </c>
    </row>
    <row r="204" spans="1:10" ht="13.5" customHeight="1">
      <c r="A204" s="266"/>
      <c r="B204" s="234"/>
      <c r="C204" s="102" t="s">
        <v>7</v>
      </c>
      <c r="D204" s="256"/>
      <c r="E204" s="86"/>
      <c r="F204" s="88"/>
      <c r="G204" s="252">
        <f>SUM(G33,G118,G141,G14,G51)</f>
        <v>66672</v>
      </c>
      <c r="H204" s="252">
        <f>SUM(H33,H118,H141,H14,H51)</f>
        <v>98299</v>
      </c>
      <c r="I204" s="252">
        <f>SUM(I33,I118,I141,I14,I51)</f>
        <v>0</v>
      </c>
      <c r="J204" s="679">
        <f t="shared" si="2"/>
        <v>98299</v>
      </c>
    </row>
    <row r="205" spans="1:10" ht="13.5" customHeight="1">
      <c r="A205" s="266"/>
      <c r="B205" s="234"/>
      <c r="C205" s="102" t="s">
        <v>230</v>
      </c>
      <c r="D205" s="256"/>
      <c r="E205" s="86"/>
      <c r="F205" s="88"/>
      <c r="G205" s="253">
        <f>SUM(G22,G56,G142,G42,G15,G18,G37)</f>
        <v>649669</v>
      </c>
      <c r="H205" s="253">
        <f>SUM(H22,H56,H142,H42,H15,H18,H37)</f>
        <v>2570658</v>
      </c>
      <c r="I205" s="253">
        <f>SUM(I22,I56,I142,I42,I15,I18,I37)</f>
        <v>175774</v>
      </c>
      <c r="J205" s="679">
        <f t="shared" si="2"/>
        <v>2746432</v>
      </c>
    </row>
    <row r="206" spans="1:10" ht="13.5" customHeight="1">
      <c r="A206" s="266"/>
      <c r="B206" s="234"/>
      <c r="C206" s="102" t="s">
        <v>231</v>
      </c>
      <c r="D206" s="256"/>
      <c r="E206" s="86"/>
      <c r="F206" s="88"/>
      <c r="G206" s="252">
        <f>SUM(G143)</f>
        <v>0</v>
      </c>
      <c r="H206" s="252">
        <f>SUM(H143)</f>
        <v>0</v>
      </c>
      <c r="I206" s="252">
        <f>SUM(I143)</f>
        <v>0</v>
      </c>
      <c r="J206" s="679">
        <f t="shared" si="2"/>
        <v>0</v>
      </c>
    </row>
    <row r="207" spans="1:10" ht="13.5" customHeight="1">
      <c r="A207" s="836"/>
      <c r="B207" s="391"/>
      <c r="C207" s="820" t="s">
        <v>468</v>
      </c>
      <c r="D207" s="837"/>
      <c r="E207" s="838"/>
      <c r="F207" s="839"/>
      <c r="G207" s="840">
        <f>SUM(G57,G144)</f>
        <v>91501</v>
      </c>
      <c r="H207" s="840">
        <f>SUM(H57,H144)</f>
        <v>1600881</v>
      </c>
      <c r="I207" s="840">
        <f>SUM(I57,I144)</f>
        <v>134272</v>
      </c>
      <c r="J207" s="803">
        <f t="shared" si="2"/>
        <v>1735153</v>
      </c>
    </row>
    <row r="208" spans="1:10" ht="13.5" customHeight="1">
      <c r="A208" s="846"/>
      <c r="B208" s="825"/>
      <c r="C208" s="834"/>
      <c r="D208" s="837"/>
      <c r="E208" s="838"/>
      <c r="F208" s="206" t="s">
        <v>186</v>
      </c>
      <c r="G208" s="847">
        <f aca="true" t="shared" si="5" ref="G208:I209">SUM(G145)</f>
        <v>85501</v>
      </c>
      <c r="H208" s="847">
        <f t="shared" si="5"/>
        <v>1594881</v>
      </c>
      <c r="I208" s="847">
        <f t="shared" si="5"/>
        <v>134272</v>
      </c>
      <c r="J208" s="803">
        <f t="shared" si="2"/>
        <v>1729153</v>
      </c>
    </row>
    <row r="209" spans="1:10" ht="13.5" customHeight="1">
      <c r="A209" s="841"/>
      <c r="B209" s="827"/>
      <c r="C209" s="835"/>
      <c r="D209" s="842"/>
      <c r="E209" s="843"/>
      <c r="F209" s="849" t="s">
        <v>639</v>
      </c>
      <c r="G209" s="848">
        <f t="shared" si="5"/>
        <v>0</v>
      </c>
      <c r="H209" s="848">
        <f t="shared" si="5"/>
        <v>0</v>
      </c>
      <c r="I209" s="848">
        <f t="shared" si="5"/>
        <v>114272</v>
      </c>
      <c r="J209" s="810">
        <f t="shared" si="2"/>
        <v>114272</v>
      </c>
    </row>
    <row r="210" spans="1:10" ht="13.5" customHeight="1">
      <c r="A210" s="841"/>
      <c r="B210" s="827"/>
      <c r="C210" s="835"/>
      <c r="D210" s="842"/>
      <c r="E210" s="843"/>
      <c r="F210" s="844" t="s">
        <v>188</v>
      </c>
      <c r="G210" s="845">
        <f>SUM(G57,)</f>
        <v>6000</v>
      </c>
      <c r="H210" s="845">
        <f>SUM(H57,)</f>
        <v>6000</v>
      </c>
      <c r="I210" s="845">
        <f>SUM(I57,)</f>
        <v>0</v>
      </c>
      <c r="J210" s="810">
        <f t="shared" si="2"/>
        <v>6000</v>
      </c>
    </row>
    <row r="211" spans="1:10" ht="13.5" customHeight="1">
      <c r="A211" s="266"/>
      <c r="B211" s="234"/>
      <c r="C211" s="102" t="s">
        <v>232</v>
      </c>
      <c r="D211" s="256"/>
      <c r="E211" s="86"/>
      <c r="F211" s="88"/>
      <c r="G211" s="252">
        <f>SUM(G212:G216)</f>
        <v>116231</v>
      </c>
      <c r="H211" s="252">
        <f>SUM(H212:H216)</f>
        <v>643734</v>
      </c>
      <c r="I211" s="252">
        <f>SUM(I212:I216)</f>
        <v>-26418</v>
      </c>
      <c r="J211" s="679">
        <f t="shared" si="2"/>
        <v>617316</v>
      </c>
    </row>
    <row r="212" spans="1:10" ht="13.5" customHeight="1">
      <c r="A212" s="266"/>
      <c r="B212" s="245"/>
      <c r="C212" s="233"/>
      <c r="D212" s="256"/>
      <c r="E212" s="86"/>
      <c r="F212" s="100" t="s">
        <v>184</v>
      </c>
      <c r="G212" s="252">
        <f>SUM(G58,G148,G119)</f>
        <v>81931</v>
      </c>
      <c r="H212" s="252">
        <f>SUM(H58,H148,H119)</f>
        <v>142533</v>
      </c>
      <c r="I212" s="252">
        <f>SUM(I58,I148,I119)</f>
        <v>-20000</v>
      </c>
      <c r="J212" s="679">
        <f t="shared" si="2"/>
        <v>122533</v>
      </c>
    </row>
    <row r="213" spans="1:10" ht="13.5" customHeight="1">
      <c r="A213" s="266"/>
      <c r="B213" s="245"/>
      <c r="C213" s="233"/>
      <c r="D213" s="256"/>
      <c r="E213" s="86"/>
      <c r="F213" s="104" t="s">
        <v>187</v>
      </c>
      <c r="G213" s="252">
        <f>SUM(G149)</f>
        <v>20000</v>
      </c>
      <c r="H213" s="252">
        <f>SUM(H149)</f>
        <v>20000</v>
      </c>
      <c r="I213" s="252">
        <f>SUM(I149)</f>
        <v>0</v>
      </c>
      <c r="J213" s="679">
        <f t="shared" si="2"/>
        <v>20000</v>
      </c>
    </row>
    <row r="214" spans="1:10" ht="13.5" customHeight="1">
      <c r="A214" s="266"/>
      <c r="B214" s="245"/>
      <c r="C214" s="233"/>
      <c r="D214" s="256"/>
      <c r="E214" s="86"/>
      <c r="F214" s="104" t="s">
        <v>251</v>
      </c>
      <c r="G214" s="252">
        <f>SUM(G59)</f>
        <v>0</v>
      </c>
      <c r="H214" s="252">
        <f>SUM(H59)</f>
        <v>0</v>
      </c>
      <c r="I214" s="252">
        <f>SUM(I59)</f>
        <v>0</v>
      </c>
      <c r="J214" s="679">
        <f t="shared" si="2"/>
        <v>0</v>
      </c>
    </row>
    <row r="215" spans="1:10" ht="13.5" customHeight="1">
      <c r="A215" s="266"/>
      <c r="B215" s="245"/>
      <c r="C215" s="233"/>
      <c r="D215" s="256"/>
      <c r="E215" s="86"/>
      <c r="F215" s="104" t="s">
        <v>185</v>
      </c>
      <c r="G215" s="253">
        <f>SUM(G36,G41,G19,G150)</f>
        <v>11000</v>
      </c>
      <c r="H215" s="253">
        <f>SUM(H36,H41,H19,H150)</f>
        <v>477901</v>
      </c>
      <c r="I215" s="253">
        <f>SUM(I36,I41,I19,I150)</f>
        <v>-6418</v>
      </c>
      <c r="J215" s="679">
        <f t="shared" si="2"/>
        <v>471483</v>
      </c>
    </row>
    <row r="216" spans="1:10" ht="13.5" customHeight="1">
      <c r="A216" s="329"/>
      <c r="B216" s="245"/>
      <c r="C216" s="233"/>
      <c r="D216" s="256"/>
      <c r="E216" s="86"/>
      <c r="F216" s="104" t="s">
        <v>77</v>
      </c>
      <c r="G216" s="117">
        <f>SUM(G151)</f>
        <v>3300</v>
      </c>
      <c r="H216" s="117">
        <f>SUM(H151)</f>
        <v>3300</v>
      </c>
      <c r="I216" s="117">
        <f>SUM(I151)</f>
        <v>0</v>
      </c>
      <c r="J216" s="679">
        <f t="shared" si="2"/>
        <v>3300</v>
      </c>
    </row>
    <row r="217" spans="1:33" s="94" customFormat="1" ht="13.5" customHeight="1">
      <c r="A217" s="329"/>
      <c r="B217" s="245"/>
      <c r="C217" s="941" t="s">
        <v>253</v>
      </c>
      <c r="D217" s="941"/>
      <c r="E217" s="941"/>
      <c r="F217" s="942"/>
      <c r="G217" s="306">
        <f>SUM(G218:G219)</f>
        <v>145064</v>
      </c>
      <c r="H217" s="306">
        <f>SUM(H218:H219)</f>
        <v>145064</v>
      </c>
      <c r="I217" s="306">
        <f>SUM(I218:I219)</f>
        <v>0</v>
      </c>
      <c r="J217" s="679">
        <f t="shared" si="2"/>
        <v>145064</v>
      </c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  <c r="Z217" s="288"/>
      <c r="AA217" s="288"/>
      <c r="AB217" s="288"/>
      <c r="AC217" s="288"/>
      <c r="AD217" s="288"/>
      <c r="AE217" s="288"/>
      <c r="AF217" s="288"/>
      <c r="AG217" s="288"/>
    </row>
    <row r="218" spans="1:33" s="94" customFormat="1" ht="13.5" customHeight="1">
      <c r="A218" s="295"/>
      <c r="B218" s="245"/>
      <c r="C218" s="86"/>
      <c r="D218" s="86"/>
      <c r="E218" s="86"/>
      <c r="F218" s="294" t="s">
        <v>136</v>
      </c>
      <c r="G218" s="307">
        <f aca="true" t="shared" si="6" ref="G218:I219">SUM(G154)</f>
        <v>145064</v>
      </c>
      <c r="H218" s="307">
        <f t="shared" si="6"/>
        <v>145064</v>
      </c>
      <c r="I218" s="307">
        <f t="shared" si="6"/>
        <v>0</v>
      </c>
      <c r="J218" s="679">
        <f aca="true" t="shared" si="7" ref="J218:J227">SUM(H218:I218)</f>
        <v>145064</v>
      </c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F218" s="288"/>
      <c r="AG218" s="288"/>
    </row>
    <row r="219" spans="1:33" s="94" customFormat="1" ht="13.5" customHeight="1">
      <c r="A219" s="295"/>
      <c r="B219" s="245"/>
      <c r="C219" s="86"/>
      <c r="D219" s="86"/>
      <c r="E219" s="86"/>
      <c r="F219" s="294" t="s">
        <v>254</v>
      </c>
      <c r="G219" s="307">
        <f t="shared" si="6"/>
        <v>0</v>
      </c>
      <c r="H219" s="307">
        <f t="shared" si="6"/>
        <v>0</v>
      </c>
      <c r="I219" s="307">
        <f t="shared" si="6"/>
        <v>0</v>
      </c>
      <c r="J219" s="679">
        <f t="shared" si="7"/>
        <v>0</v>
      </c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  <c r="Z219" s="288"/>
      <c r="AA219" s="288"/>
      <c r="AB219" s="288"/>
      <c r="AC219" s="288"/>
      <c r="AD219" s="288"/>
      <c r="AE219" s="288"/>
      <c r="AF219" s="288"/>
      <c r="AG219" s="288"/>
    </row>
    <row r="220" spans="1:33" s="301" customFormat="1" ht="13.5" customHeight="1">
      <c r="A220" s="298"/>
      <c r="B220" s="299"/>
      <c r="C220" s="941" t="s">
        <v>335</v>
      </c>
      <c r="D220" s="941"/>
      <c r="E220" s="941"/>
      <c r="F220" s="942"/>
      <c r="G220" s="307">
        <f>SUM(G221:G222)</f>
        <v>505332</v>
      </c>
      <c r="H220" s="307">
        <f>SUM(H221:H222)</f>
        <v>505332</v>
      </c>
      <c r="I220" s="307">
        <f>SUM(I221:I222)</f>
        <v>0</v>
      </c>
      <c r="J220" s="679">
        <f t="shared" si="7"/>
        <v>505332</v>
      </c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  <c r="AA220" s="300"/>
      <c r="AB220" s="300"/>
      <c r="AC220" s="300"/>
      <c r="AD220" s="300"/>
      <c r="AE220" s="300"/>
      <c r="AF220" s="300"/>
      <c r="AG220" s="300"/>
    </row>
    <row r="221" spans="1:33" s="301" customFormat="1" ht="13.5" customHeight="1">
      <c r="A221" s="298"/>
      <c r="B221" s="299"/>
      <c r="C221" s="293"/>
      <c r="D221" s="293"/>
      <c r="E221" s="293"/>
      <c r="F221" s="294" t="s">
        <v>336</v>
      </c>
      <c r="G221" s="307">
        <f aca="true" t="shared" si="8" ref="G221:I222">SUM(G157)</f>
        <v>498000</v>
      </c>
      <c r="H221" s="307">
        <f t="shared" si="8"/>
        <v>498000</v>
      </c>
      <c r="I221" s="307">
        <f t="shared" si="8"/>
        <v>0</v>
      </c>
      <c r="J221" s="679">
        <f t="shared" si="7"/>
        <v>498000</v>
      </c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0"/>
      <c r="AE221" s="300"/>
      <c r="AF221" s="300"/>
      <c r="AG221" s="300"/>
    </row>
    <row r="222" spans="1:33" s="301" customFormat="1" ht="13.5" customHeight="1">
      <c r="A222" s="298"/>
      <c r="B222" s="299"/>
      <c r="C222" s="293"/>
      <c r="D222" s="293"/>
      <c r="E222" s="293"/>
      <c r="F222" s="294" t="s">
        <v>337</v>
      </c>
      <c r="G222" s="307">
        <f t="shared" si="8"/>
        <v>7332</v>
      </c>
      <c r="H222" s="307">
        <f t="shared" si="8"/>
        <v>7332</v>
      </c>
      <c r="I222" s="307">
        <f t="shared" si="8"/>
        <v>0</v>
      </c>
      <c r="J222" s="679">
        <f t="shared" si="7"/>
        <v>7332</v>
      </c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  <c r="AC222" s="300"/>
      <c r="AD222" s="300"/>
      <c r="AE222" s="300"/>
      <c r="AF222" s="300"/>
      <c r="AG222" s="300"/>
    </row>
    <row r="223" spans="1:33" s="312" customFormat="1" ht="13.5" customHeight="1">
      <c r="A223" s="309"/>
      <c r="B223" s="310"/>
      <c r="C223" s="302" t="s">
        <v>137</v>
      </c>
      <c r="D223" s="296"/>
      <c r="E223" s="296"/>
      <c r="F223" s="297"/>
      <c r="G223" s="306">
        <f>SUM(G224:G226)</f>
        <v>1453639</v>
      </c>
      <c r="H223" s="306">
        <f>SUM(H224:H226)</f>
        <v>5868431</v>
      </c>
      <c r="I223" s="306">
        <f>SUM(I224:I226)</f>
        <v>-533793</v>
      </c>
      <c r="J223" s="679">
        <f t="shared" si="7"/>
        <v>5334638</v>
      </c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1"/>
      <c r="AC223" s="311"/>
      <c r="AD223" s="311"/>
      <c r="AE223" s="311"/>
      <c r="AF223" s="311"/>
      <c r="AG223" s="311"/>
    </row>
    <row r="224" spans="1:33" s="312" customFormat="1" ht="13.5" customHeight="1">
      <c r="A224" s="309"/>
      <c r="B224" s="310"/>
      <c r="C224" s="313"/>
      <c r="D224" s="296"/>
      <c r="E224" s="296"/>
      <c r="F224" s="294" t="s">
        <v>255</v>
      </c>
      <c r="G224" s="306">
        <f aca="true" t="shared" si="9" ref="G224:I226">SUM(G160)</f>
        <v>628235</v>
      </c>
      <c r="H224" s="306">
        <f t="shared" si="9"/>
        <v>0</v>
      </c>
      <c r="I224" s="306">
        <f t="shared" si="9"/>
        <v>0</v>
      </c>
      <c r="J224" s="679">
        <f t="shared" si="7"/>
        <v>0</v>
      </c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311"/>
      <c r="AG224" s="311"/>
    </row>
    <row r="225" spans="1:33" s="312" customFormat="1" ht="13.5" customHeight="1">
      <c r="A225" s="314"/>
      <c r="B225" s="315"/>
      <c r="C225" s="303"/>
      <c r="D225" s="316"/>
      <c r="E225" s="316"/>
      <c r="F225" s="304" t="s">
        <v>426</v>
      </c>
      <c r="G225" s="306">
        <f t="shared" si="9"/>
        <v>62000</v>
      </c>
      <c r="H225" s="306">
        <f t="shared" si="9"/>
        <v>24598</v>
      </c>
      <c r="I225" s="306">
        <f t="shared" si="9"/>
        <v>-13413</v>
      </c>
      <c r="J225" s="679">
        <f t="shared" si="7"/>
        <v>11185</v>
      </c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311"/>
      <c r="AG225" s="311"/>
    </row>
    <row r="226" spans="1:33" s="322" customFormat="1" ht="13.5" customHeight="1">
      <c r="A226" s="317"/>
      <c r="B226" s="318"/>
      <c r="C226" s="319"/>
      <c r="D226" s="320"/>
      <c r="E226" s="320"/>
      <c r="F226" s="305" t="s">
        <v>256</v>
      </c>
      <c r="G226" s="306">
        <f t="shared" si="9"/>
        <v>763404</v>
      </c>
      <c r="H226" s="306">
        <f t="shared" si="9"/>
        <v>5843833</v>
      </c>
      <c r="I226" s="306">
        <f t="shared" si="9"/>
        <v>-520380</v>
      </c>
      <c r="J226" s="679">
        <f t="shared" si="7"/>
        <v>5323453</v>
      </c>
      <c r="K226" s="321"/>
      <c r="L226" s="321"/>
      <c r="M226" s="321"/>
      <c r="N226" s="321"/>
      <c r="O226" s="321"/>
      <c r="P226" s="321"/>
      <c r="Q226" s="321"/>
      <c r="R226" s="321"/>
      <c r="S226" s="321"/>
      <c r="T226" s="321"/>
      <c r="U226" s="321"/>
      <c r="V226" s="321"/>
      <c r="W226" s="321"/>
      <c r="X226" s="321"/>
      <c r="Y226" s="321"/>
      <c r="Z226" s="321"/>
      <c r="AA226" s="321"/>
      <c r="AB226" s="321"/>
      <c r="AC226" s="321"/>
      <c r="AD226" s="321"/>
      <c r="AE226" s="321"/>
      <c r="AF226" s="321"/>
      <c r="AG226" s="321"/>
    </row>
    <row r="227" spans="1:33" s="322" customFormat="1" ht="13.5" customHeight="1">
      <c r="A227" s="317"/>
      <c r="B227" s="318"/>
      <c r="C227" s="302" t="s">
        <v>138</v>
      </c>
      <c r="D227" s="320"/>
      <c r="E227" s="320"/>
      <c r="F227" s="323"/>
      <c r="G227" s="306">
        <f>SUM(G180)</f>
        <v>7528303</v>
      </c>
      <c r="H227" s="306">
        <f>SUM(H180)</f>
        <v>8322090</v>
      </c>
      <c r="I227" s="306">
        <f>SUM(I180)</f>
        <v>50956</v>
      </c>
      <c r="J227" s="679">
        <f t="shared" si="7"/>
        <v>8373046</v>
      </c>
      <c r="K227" s="321"/>
      <c r="L227" s="321"/>
      <c r="M227" s="321"/>
      <c r="N227" s="321"/>
      <c r="O227" s="321"/>
      <c r="P227" s="321"/>
      <c r="Q227" s="321"/>
      <c r="R227" s="321"/>
      <c r="S227" s="321"/>
      <c r="T227" s="321"/>
      <c r="U227" s="321"/>
      <c r="V227" s="321"/>
      <c r="W227" s="321"/>
      <c r="X227" s="321"/>
      <c r="Y227" s="321"/>
      <c r="Z227" s="321"/>
      <c r="AA227" s="321"/>
      <c r="AB227" s="321"/>
      <c r="AC227" s="321"/>
      <c r="AD227" s="321"/>
      <c r="AE227" s="321"/>
      <c r="AF227" s="321"/>
      <c r="AG227" s="321"/>
    </row>
    <row r="228" spans="1:10" ht="12.75">
      <c r="A228" s="22"/>
      <c r="B228" s="22"/>
      <c r="C228" s="22"/>
      <c r="D228" s="22"/>
      <c r="E228" s="22"/>
      <c r="F228" s="22"/>
      <c r="G228" s="22"/>
      <c r="H228" s="22"/>
      <c r="I228" s="527"/>
      <c r="J228" s="676"/>
    </row>
    <row r="229" spans="1:10" ht="12.75">
      <c r="A229" s="22"/>
      <c r="B229" s="22"/>
      <c r="C229" s="22"/>
      <c r="D229" s="22"/>
      <c r="E229" s="22"/>
      <c r="F229" s="22"/>
      <c r="G229" s="22"/>
      <c r="H229" s="22"/>
      <c r="I229" s="527"/>
      <c r="J229" s="676"/>
    </row>
    <row r="230" spans="1:10" ht="12.75">
      <c r="A230" s="22"/>
      <c r="B230" s="22"/>
      <c r="C230" s="22"/>
      <c r="D230" s="22"/>
      <c r="E230" s="22"/>
      <c r="F230" s="22"/>
      <c r="G230" s="22"/>
      <c r="H230" s="22"/>
      <c r="I230" s="527"/>
      <c r="J230" s="676"/>
    </row>
    <row r="231" spans="1:10" ht="12.75">
      <c r="A231" s="22"/>
      <c r="B231" s="22"/>
      <c r="C231" s="22"/>
      <c r="D231" s="22"/>
      <c r="E231" s="22"/>
      <c r="F231" s="22"/>
      <c r="G231" s="22"/>
      <c r="H231" s="22"/>
      <c r="I231" s="527"/>
      <c r="J231" s="676"/>
    </row>
    <row r="232" spans="1:10" ht="12.75">
      <c r="A232" s="22"/>
      <c r="B232" s="22"/>
      <c r="C232" s="22"/>
      <c r="D232" s="22"/>
      <c r="E232" s="22"/>
      <c r="F232" s="22"/>
      <c r="G232" s="22"/>
      <c r="H232" s="22"/>
      <c r="I232" s="527"/>
      <c r="J232" s="676"/>
    </row>
    <row r="233" spans="1:10" ht="12.75">
      <c r="A233" s="22"/>
      <c r="B233" s="22"/>
      <c r="C233" s="22"/>
      <c r="D233" s="22"/>
      <c r="E233" s="22"/>
      <c r="F233" s="22"/>
      <c r="G233" s="22"/>
      <c r="H233" s="22"/>
      <c r="I233" s="527"/>
      <c r="J233" s="676"/>
    </row>
    <row r="234" spans="1:10" ht="12.75">
      <c r="A234" s="22"/>
      <c r="B234" s="22"/>
      <c r="C234" s="22"/>
      <c r="D234" s="22"/>
      <c r="E234" s="22"/>
      <c r="F234" s="22"/>
      <c r="G234" s="22"/>
      <c r="H234" s="22"/>
      <c r="I234" s="527"/>
      <c r="J234" s="676"/>
    </row>
    <row r="235" spans="1:10" ht="12.75">
      <c r="A235" s="22"/>
      <c r="B235" s="22"/>
      <c r="C235" s="22"/>
      <c r="D235" s="22"/>
      <c r="E235" s="22"/>
      <c r="F235" s="22"/>
      <c r="G235" s="22"/>
      <c r="H235" s="22"/>
      <c r="I235" s="527"/>
      <c r="J235" s="676"/>
    </row>
    <row r="236" spans="1:10" ht="12.75">
      <c r="A236" s="22"/>
      <c r="B236" s="22"/>
      <c r="C236" s="22"/>
      <c r="D236" s="22"/>
      <c r="E236" s="22"/>
      <c r="F236" s="22"/>
      <c r="G236" s="22"/>
      <c r="H236" s="22"/>
      <c r="I236" s="527"/>
      <c r="J236" s="676"/>
    </row>
    <row r="237" spans="1:10" ht="12.75">
      <c r="A237" s="22"/>
      <c r="B237" s="22"/>
      <c r="C237" s="22"/>
      <c r="D237" s="22"/>
      <c r="E237" s="22"/>
      <c r="F237" s="22"/>
      <c r="G237" s="22"/>
      <c r="H237" s="22"/>
      <c r="I237" s="527"/>
      <c r="J237" s="676"/>
    </row>
    <row r="238" spans="1:10" ht="12.75">
      <c r="A238" s="22"/>
      <c r="B238" s="22"/>
      <c r="C238" s="22"/>
      <c r="D238" s="22"/>
      <c r="E238" s="22"/>
      <c r="F238" s="22"/>
      <c r="G238" s="22"/>
      <c r="H238" s="22"/>
      <c r="I238" s="527"/>
      <c r="J238" s="676"/>
    </row>
    <row r="239" spans="1:10" ht="12.75">
      <c r="A239" s="22"/>
      <c r="B239" s="22"/>
      <c r="C239" s="22"/>
      <c r="D239" s="22"/>
      <c r="E239" s="22"/>
      <c r="F239" s="22"/>
      <c r="G239" s="22"/>
      <c r="H239" s="22"/>
      <c r="I239" s="527"/>
      <c r="J239" s="676"/>
    </row>
    <row r="240" spans="1:10" ht="12.75">
      <c r="A240" s="22"/>
      <c r="B240" s="22"/>
      <c r="C240" s="22"/>
      <c r="D240" s="22"/>
      <c r="E240" s="22"/>
      <c r="F240" s="22"/>
      <c r="G240" s="22"/>
      <c r="H240" s="22"/>
      <c r="I240" s="527"/>
      <c r="J240" s="676"/>
    </row>
    <row r="241" spans="1:10" ht="12.75">
      <c r="A241" s="22"/>
      <c r="B241" s="22"/>
      <c r="C241" s="22"/>
      <c r="D241" s="22"/>
      <c r="E241" s="22"/>
      <c r="F241" s="22"/>
      <c r="G241" s="22"/>
      <c r="H241" s="22"/>
      <c r="I241" s="527"/>
      <c r="J241" s="676"/>
    </row>
    <row r="242" spans="1:10" ht="12.75">
      <c r="A242" s="22"/>
      <c r="B242" s="22"/>
      <c r="C242" s="22"/>
      <c r="D242" s="22"/>
      <c r="E242" s="22"/>
      <c r="F242" s="22"/>
      <c r="G242" s="22"/>
      <c r="H242" s="22"/>
      <c r="I242" s="527"/>
      <c r="J242" s="676"/>
    </row>
    <row r="243" spans="1:10" ht="12.75">
      <c r="A243" s="22"/>
      <c r="B243" s="22"/>
      <c r="C243" s="22"/>
      <c r="D243" s="22"/>
      <c r="E243" s="22"/>
      <c r="F243" s="22"/>
      <c r="G243" s="22"/>
      <c r="H243" s="22"/>
      <c r="I243" s="527"/>
      <c r="J243" s="676"/>
    </row>
    <row r="244" spans="1:10" ht="12.75">
      <c r="A244" s="22"/>
      <c r="B244" s="22"/>
      <c r="C244" s="22"/>
      <c r="D244" s="22"/>
      <c r="E244" s="22"/>
      <c r="F244" s="22"/>
      <c r="G244" s="22"/>
      <c r="H244" s="22"/>
      <c r="I244" s="527"/>
      <c r="J244" s="676"/>
    </row>
    <row r="245" spans="1:10" ht="12.75">
      <c r="A245" s="22"/>
      <c r="B245" s="22"/>
      <c r="C245" s="22"/>
      <c r="D245" s="22"/>
      <c r="E245" s="22"/>
      <c r="F245" s="22"/>
      <c r="G245" s="22"/>
      <c r="H245" s="22"/>
      <c r="I245" s="527"/>
      <c r="J245" s="676"/>
    </row>
    <row r="246" spans="1:10" ht="12.75">
      <c r="A246" s="22"/>
      <c r="B246" s="22"/>
      <c r="C246" s="22"/>
      <c r="D246" s="22"/>
      <c r="E246" s="22"/>
      <c r="F246" s="22"/>
      <c r="G246" s="22"/>
      <c r="H246" s="22"/>
      <c r="I246" s="527"/>
      <c r="J246" s="676"/>
    </row>
    <row r="247" spans="1:10" ht="12.75">
      <c r="A247" s="22"/>
      <c r="B247" s="22"/>
      <c r="C247" s="22"/>
      <c r="D247" s="22"/>
      <c r="E247" s="22"/>
      <c r="F247" s="22"/>
      <c r="G247" s="22"/>
      <c r="H247" s="22"/>
      <c r="I247" s="527"/>
      <c r="J247" s="676"/>
    </row>
    <row r="248" spans="1:10" ht="12.75">
      <c r="A248" s="22"/>
      <c r="B248" s="22"/>
      <c r="C248" s="22"/>
      <c r="D248" s="22"/>
      <c r="E248" s="22"/>
      <c r="F248" s="22"/>
      <c r="G248" s="22"/>
      <c r="H248" s="22"/>
      <c r="I248" s="527"/>
      <c r="J248" s="676"/>
    </row>
    <row r="249" spans="1:10" ht="12.75">
      <c r="A249" s="22"/>
      <c r="B249" s="22"/>
      <c r="C249" s="22"/>
      <c r="D249" s="22"/>
      <c r="E249" s="22"/>
      <c r="F249" s="22"/>
      <c r="G249" s="22"/>
      <c r="H249" s="22"/>
      <c r="I249" s="527"/>
      <c r="J249" s="676"/>
    </row>
    <row r="250" spans="1:10" ht="12.75">
      <c r="A250" s="22"/>
      <c r="B250" s="22"/>
      <c r="C250" s="22"/>
      <c r="D250" s="22"/>
      <c r="E250" s="22"/>
      <c r="F250" s="22"/>
      <c r="G250" s="22"/>
      <c r="H250" s="22"/>
      <c r="I250" s="527"/>
      <c r="J250" s="676"/>
    </row>
    <row r="251" spans="1:10" ht="12.75">
      <c r="A251" s="22"/>
      <c r="B251" s="22"/>
      <c r="C251" s="22"/>
      <c r="D251" s="22"/>
      <c r="E251" s="22"/>
      <c r="F251" s="22"/>
      <c r="G251" s="22"/>
      <c r="H251" s="22"/>
      <c r="I251" s="527"/>
      <c r="J251" s="676"/>
    </row>
    <row r="252" spans="1:10" ht="12.75">
      <c r="A252" s="22"/>
      <c r="B252" s="22"/>
      <c r="C252" s="22"/>
      <c r="D252" s="22"/>
      <c r="E252" s="22"/>
      <c r="F252" s="22"/>
      <c r="G252" s="22"/>
      <c r="H252" s="22"/>
      <c r="I252" s="527"/>
      <c r="J252" s="676"/>
    </row>
    <row r="253" spans="1:10" ht="12.75">
      <c r="A253" s="22"/>
      <c r="B253" s="22"/>
      <c r="C253" s="22"/>
      <c r="D253" s="22"/>
      <c r="E253" s="22"/>
      <c r="F253" s="22"/>
      <c r="G253" s="22"/>
      <c r="H253" s="22"/>
      <c r="I253" s="527"/>
      <c r="J253" s="676"/>
    </row>
    <row r="254" spans="1:10" ht="12.75">
      <c r="A254" s="22"/>
      <c r="B254" s="22"/>
      <c r="C254" s="22"/>
      <c r="D254" s="22"/>
      <c r="E254" s="22"/>
      <c r="F254" s="22"/>
      <c r="G254" s="22"/>
      <c r="H254" s="22"/>
      <c r="I254" s="527"/>
      <c r="J254" s="676"/>
    </row>
    <row r="255" spans="1:10" ht="12.75">
      <c r="A255" s="22"/>
      <c r="B255" s="22"/>
      <c r="C255" s="22"/>
      <c r="D255" s="22"/>
      <c r="E255" s="22"/>
      <c r="F255" s="22"/>
      <c r="G255" s="22"/>
      <c r="H255" s="22"/>
      <c r="I255" s="527"/>
      <c r="J255" s="676"/>
    </row>
    <row r="256" spans="1:10" ht="12.75">
      <c r="A256" s="22"/>
      <c r="B256" s="22"/>
      <c r="C256" s="22"/>
      <c r="D256" s="22"/>
      <c r="E256" s="22"/>
      <c r="F256" s="22"/>
      <c r="G256" s="22"/>
      <c r="H256" s="22"/>
      <c r="I256" s="527"/>
      <c r="J256" s="676"/>
    </row>
    <row r="257" spans="1:10" ht="12.75">
      <c r="A257" s="22"/>
      <c r="B257" s="22"/>
      <c r="C257" s="22"/>
      <c r="D257" s="22"/>
      <c r="E257" s="22"/>
      <c r="F257" s="22"/>
      <c r="G257" s="22"/>
      <c r="H257" s="22"/>
      <c r="I257" s="527"/>
      <c r="J257" s="676"/>
    </row>
    <row r="258" spans="1:10" ht="12.75">
      <c r="A258" s="22"/>
      <c r="B258" s="22"/>
      <c r="C258" s="22"/>
      <c r="D258" s="22"/>
      <c r="E258" s="22"/>
      <c r="F258" s="22"/>
      <c r="G258" s="22"/>
      <c r="H258" s="22"/>
      <c r="I258" s="527"/>
      <c r="J258" s="676"/>
    </row>
    <row r="259" spans="1:10" ht="12.75">
      <c r="A259" s="22"/>
      <c r="B259" s="22"/>
      <c r="C259" s="22"/>
      <c r="D259" s="22"/>
      <c r="E259" s="22"/>
      <c r="F259" s="22"/>
      <c r="G259" s="22"/>
      <c r="H259" s="22"/>
      <c r="I259" s="527"/>
      <c r="J259" s="676"/>
    </row>
    <row r="260" spans="1:10" ht="12.75">
      <c r="A260" s="22"/>
      <c r="B260" s="22"/>
      <c r="C260" s="22"/>
      <c r="D260" s="22"/>
      <c r="E260" s="22"/>
      <c r="F260" s="22"/>
      <c r="G260" s="22"/>
      <c r="H260" s="22"/>
      <c r="I260" s="527"/>
      <c r="J260" s="676"/>
    </row>
    <row r="261" spans="1:10" ht="12.75">
      <c r="A261" s="22"/>
      <c r="B261" s="22"/>
      <c r="C261" s="22"/>
      <c r="D261" s="22"/>
      <c r="E261" s="22"/>
      <c r="F261" s="22"/>
      <c r="G261" s="22"/>
      <c r="H261" s="22"/>
      <c r="I261" s="527"/>
      <c r="J261" s="676"/>
    </row>
    <row r="262" spans="1:10" ht="12.75">
      <c r="A262" s="22"/>
      <c r="B262" s="22"/>
      <c r="C262" s="22"/>
      <c r="D262" s="22"/>
      <c r="E262" s="22"/>
      <c r="F262" s="22"/>
      <c r="G262" s="22"/>
      <c r="H262" s="22"/>
      <c r="I262" s="527"/>
      <c r="J262" s="676"/>
    </row>
    <row r="263" spans="1:10" ht="12.75">
      <c r="A263" s="22"/>
      <c r="B263" s="22"/>
      <c r="C263" s="22"/>
      <c r="D263" s="22"/>
      <c r="E263" s="22"/>
      <c r="F263" s="22"/>
      <c r="G263" s="22"/>
      <c r="H263" s="22"/>
      <c r="I263" s="527"/>
      <c r="J263" s="676"/>
    </row>
    <row r="264" spans="1:10" ht="12.75">
      <c r="A264" s="22"/>
      <c r="B264" s="22"/>
      <c r="C264" s="22"/>
      <c r="D264" s="22"/>
      <c r="E264" s="22"/>
      <c r="F264" s="22"/>
      <c r="G264" s="22"/>
      <c r="H264" s="22"/>
      <c r="I264" s="527"/>
      <c r="J264" s="676"/>
    </row>
    <row r="265" spans="1:10" ht="12.75">
      <c r="A265" s="22"/>
      <c r="B265" s="22"/>
      <c r="C265" s="22"/>
      <c r="D265" s="22"/>
      <c r="E265" s="22"/>
      <c r="F265" s="22"/>
      <c r="G265" s="22"/>
      <c r="H265" s="22"/>
      <c r="I265" s="527"/>
      <c r="J265" s="676"/>
    </row>
    <row r="266" spans="1:10" ht="12.75">
      <c r="A266" s="22"/>
      <c r="B266" s="22"/>
      <c r="C266" s="22"/>
      <c r="D266" s="22"/>
      <c r="E266" s="22"/>
      <c r="F266" s="22"/>
      <c r="G266" s="22"/>
      <c r="H266" s="22"/>
      <c r="I266" s="527"/>
      <c r="J266" s="676"/>
    </row>
    <row r="267" spans="1:10" ht="12.75">
      <c r="A267" s="22"/>
      <c r="B267" s="22"/>
      <c r="C267" s="22"/>
      <c r="D267" s="22"/>
      <c r="E267" s="22"/>
      <c r="F267" s="22"/>
      <c r="G267" s="22"/>
      <c r="H267" s="22"/>
      <c r="I267" s="527"/>
      <c r="J267" s="676"/>
    </row>
    <row r="268" spans="1:10" ht="12.75">
      <c r="A268" s="22"/>
      <c r="B268" s="22"/>
      <c r="C268" s="22"/>
      <c r="D268" s="22"/>
      <c r="E268" s="22"/>
      <c r="F268" s="22"/>
      <c r="G268" s="22"/>
      <c r="H268" s="22"/>
      <c r="I268" s="527"/>
      <c r="J268" s="676"/>
    </row>
    <row r="269" spans="1:10" ht="12.75">
      <c r="A269" s="22"/>
      <c r="B269" s="22"/>
      <c r="C269" s="22"/>
      <c r="D269" s="22"/>
      <c r="E269" s="22"/>
      <c r="F269" s="22"/>
      <c r="G269" s="22"/>
      <c r="H269" s="22"/>
      <c r="I269" s="527"/>
      <c r="J269" s="676"/>
    </row>
    <row r="270" spans="1:10" ht="12.75">
      <c r="A270" s="22"/>
      <c r="B270" s="22"/>
      <c r="C270" s="22"/>
      <c r="D270" s="22"/>
      <c r="E270" s="22"/>
      <c r="F270" s="22"/>
      <c r="G270" s="22"/>
      <c r="H270" s="22"/>
      <c r="I270" s="527"/>
      <c r="J270" s="676"/>
    </row>
    <row r="271" spans="1:10" ht="12.75">
      <c r="A271" s="22"/>
      <c r="B271" s="22"/>
      <c r="C271" s="22"/>
      <c r="D271" s="22"/>
      <c r="E271" s="22"/>
      <c r="F271" s="22"/>
      <c r="G271" s="22"/>
      <c r="H271" s="22"/>
      <c r="I271" s="527"/>
      <c r="J271" s="676"/>
    </row>
    <row r="272" spans="1:10" ht="12.75">
      <c r="A272" s="22"/>
      <c r="B272" s="22"/>
      <c r="C272" s="22"/>
      <c r="D272" s="22"/>
      <c r="E272" s="22"/>
      <c r="F272" s="22"/>
      <c r="G272" s="22"/>
      <c r="H272" s="22"/>
      <c r="I272" s="527"/>
      <c r="J272" s="676"/>
    </row>
    <row r="273" spans="1:10" ht="12.75">
      <c r="A273" s="22"/>
      <c r="B273" s="22"/>
      <c r="C273" s="22"/>
      <c r="D273" s="22"/>
      <c r="E273" s="22"/>
      <c r="F273" s="22"/>
      <c r="G273" s="22"/>
      <c r="H273" s="22"/>
      <c r="I273" s="527"/>
      <c r="J273" s="676"/>
    </row>
    <row r="274" spans="1:10" ht="12.75">
      <c r="A274" s="22"/>
      <c r="B274" s="22"/>
      <c r="C274" s="22"/>
      <c r="D274" s="22"/>
      <c r="E274" s="22"/>
      <c r="F274" s="22"/>
      <c r="G274" s="22"/>
      <c r="H274" s="22"/>
      <c r="I274" s="527"/>
      <c r="J274" s="676"/>
    </row>
    <row r="275" spans="1:10" ht="12.75">
      <c r="A275" s="22"/>
      <c r="B275" s="22"/>
      <c r="C275" s="22"/>
      <c r="D275" s="22"/>
      <c r="E275" s="22"/>
      <c r="F275" s="22"/>
      <c r="G275" s="22"/>
      <c r="H275" s="22"/>
      <c r="I275" s="527"/>
      <c r="J275" s="676"/>
    </row>
    <row r="276" spans="1:10" ht="12.75">
      <c r="A276" s="22"/>
      <c r="B276" s="22"/>
      <c r="C276" s="22"/>
      <c r="D276" s="22"/>
      <c r="E276" s="22"/>
      <c r="F276" s="22"/>
      <c r="G276" s="22"/>
      <c r="H276" s="22"/>
      <c r="I276" s="527"/>
      <c r="J276" s="676"/>
    </row>
    <row r="277" spans="1:10" ht="12.75">
      <c r="A277" s="22"/>
      <c r="B277" s="22"/>
      <c r="C277" s="22"/>
      <c r="D277" s="22"/>
      <c r="E277" s="22"/>
      <c r="F277" s="22"/>
      <c r="G277" s="22"/>
      <c r="H277" s="22"/>
      <c r="I277" s="527"/>
      <c r="J277" s="676"/>
    </row>
    <row r="278" spans="1:10" ht="12.75">
      <c r="A278" s="22"/>
      <c r="B278" s="22"/>
      <c r="C278" s="22"/>
      <c r="D278" s="22"/>
      <c r="E278" s="22"/>
      <c r="F278" s="22"/>
      <c r="G278" s="22"/>
      <c r="H278" s="22"/>
      <c r="I278" s="527"/>
      <c r="J278" s="676"/>
    </row>
    <row r="279" spans="1:10" ht="12.75">
      <c r="A279" s="22"/>
      <c r="B279" s="22"/>
      <c r="C279" s="22"/>
      <c r="D279" s="22"/>
      <c r="E279" s="22"/>
      <c r="F279" s="22"/>
      <c r="G279" s="22"/>
      <c r="H279" s="22"/>
      <c r="I279" s="527"/>
      <c r="J279" s="676"/>
    </row>
    <row r="280" spans="1:10" ht="12.75">
      <c r="A280" s="22"/>
      <c r="B280" s="22"/>
      <c r="C280" s="22"/>
      <c r="D280" s="22"/>
      <c r="E280" s="22"/>
      <c r="F280" s="22"/>
      <c r="G280" s="22"/>
      <c r="H280" s="22"/>
      <c r="I280" s="527"/>
      <c r="J280" s="676"/>
    </row>
    <row r="281" spans="1:10" ht="12.75">
      <c r="A281" s="22"/>
      <c r="B281" s="22"/>
      <c r="C281" s="22"/>
      <c r="D281" s="22"/>
      <c r="E281" s="22"/>
      <c r="F281" s="22"/>
      <c r="G281" s="22"/>
      <c r="H281" s="22"/>
      <c r="I281" s="527"/>
      <c r="J281" s="676"/>
    </row>
    <row r="282" spans="1:10" ht="12.75">
      <c r="A282" s="22"/>
      <c r="B282" s="22"/>
      <c r="C282" s="22"/>
      <c r="D282" s="22"/>
      <c r="E282" s="22"/>
      <c r="F282" s="22"/>
      <c r="G282" s="22"/>
      <c r="H282" s="22"/>
      <c r="I282" s="527"/>
      <c r="J282" s="676"/>
    </row>
    <row r="283" spans="1:10" ht="12.75">
      <c r="A283" s="22"/>
      <c r="B283" s="22"/>
      <c r="C283" s="22"/>
      <c r="D283" s="22"/>
      <c r="E283" s="22"/>
      <c r="F283" s="22"/>
      <c r="G283" s="22"/>
      <c r="H283" s="22"/>
      <c r="I283" s="527"/>
      <c r="J283" s="676"/>
    </row>
    <row r="284" spans="1:10" ht="12.75">
      <c r="A284" s="22"/>
      <c r="B284" s="22"/>
      <c r="C284" s="22"/>
      <c r="D284" s="22"/>
      <c r="E284" s="22"/>
      <c r="F284" s="22"/>
      <c r="G284" s="22"/>
      <c r="H284" s="22"/>
      <c r="I284" s="527"/>
      <c r="J284" s="676"/>
    </row>
    <row r="285" spans="1:10" ht="12.75">
      <c r="A285" s="22"/>
      <c r="B285" s="22"/>
      <c r="C285" s="22"/>
      <c r="D285" s="22"/>
      <c r="E285" s="22"/>
      <c r="F285" s="22"/>
      <c r="G285" s="22"/>
      <c r="H285" s="22"/>
      <c r="I285" s="527"/>
      <c r="J285" s="676"/>
    </row>
    <row r="286" spans="1:10" ht="12.75">
      <c r="A286" s="22"/>
      <c r="B286" s="22"/>
      <c r="C286" s="22"/>
      <c r="D286" s="22"/>
      <c r="E286" s="22"/>
      <c r="F286" s="22"/>
      <c r="G286" s="22"/>
      <c r="H286" s="22"/>
      <c r="I286" s="527"/>
      <c r="J286" s="676"/>
    </row>
    <row r="287" spans="1:10" ht="12.75">
      <c r="A287" s="22"/>
      <c r="B287" s="22"/>
      <c r="C287" s="22"/>
      <c r="D287" s="22"/>
      <c r="E287" s="22"/>
      <c r="F287" s="22"/>
      <c r="G287" s="22"/>
      <c r="H287" s="22"/>
      <c r="I287" s="527"/>
      <c r="J287" s="676"/>
    </row>
    <row r="288" spans="1:10" ht="12.75">
      <c r="A288" s="22"/>
      <c r="B288" s="22"/>
      <c r="C288" s="22"/>
      <c r="D288" s="22"/>
      <c r="E288" s="22"/>
      <c r="F288" s="22"/>
      <c r="G288" s="22"/>
      <c r="H288" s="22"/>
      <c r="I288" s="527"/>
      <c r="J288" s="676"/>
    </row>
    <row r="289" spans="1:10" ht="12.75">
      <c r="A289" s="22"/>
      <c r="B289" s="22"/>
      <c r="C289" s="22"/>
      <c r="D289" s="22"/>
      <c r="E289" s="22"/>
      <c r="F289" s="22"/>
      <c r="G289" s="22"/>
      <c r="H289" s="22"/>
      <c r="I289" s="527"/>
      <c r="J289" s="676"/>
    </row>
    <row r="290" spans="1:10" ht="12.75">
      <c r="A290" s="22"/>
      <c r="B290" s="22"/>
      <c r="C290" s="22"/>
      <c r="D290" s="22"/>
      <c r="E290" s="22"/>
      <c r="F290" s="22"/>
      <c r="G290" s="22"/>
      <c r="H290" s="22"/>
      <c r="I290" s="527"/>
      <c r="J290" s="676"/>
    </row>
    <row r="291" spans="1:10" ht="12.75">
      <c r="A291" s="22"/>
      <c r="B291" s="22"/>
      <c r="C291" s="22"/>
      <c r="D291" s="22"/>
      <c r="E291" s="22"/>
      <c r="F291" s="22"/>
      <c r="G291" s="22"/>
      <c r="H291" s="22"/>
      <c r="I291" s="527"/>
      <c r="J291" s="676"/>
    </row>
    <row r="292" spans="1:10" ht="12.75">
      <c r="A292" s="22"/>
      <c r="B292" s="22"/>
      <c r="C292" s="22"/>
      <c r="D292" s="22"/>
      <c r="E292" s="22"/>
      <c r="F292" s="22"/>
      <c r="G292" s="22"/>
      <c r="H292" s="22"/>
      <c r="I292" s="527"/>
      <c r="J292" s="676"/>
    </row>
    <row r="293" spans="1:10" ht="12.75">
      <c r="A293" s="22"/>
      <c r="B293" s="22"/>
      <c r="C293" s="22"/>
      <c r="D293" s="22"/>
      <c r="E293" s="22"/>
      <c r="F293" s="22"/>
      <c r="G293" s="22"/>
      <c r="H293" s="22"/>
      <c r="I293" s="527"/>
      <c r="J293" s="676"/>
    </row>
    <row r="294" spans="1:10" ht="12.75">
      <c r="A294" s="22"/>
      <c r="B294" s="22"/>
      <c r="C294" s="22"/>
      <c r="D294" s="22"/>
      <c r="E294" s="22"/>
      <c r="F294" s="22"/>
      <c r="G294" s="22"/>
      <c r="H294" s="22"/>
      <c r="I294" s="527"/>
      <c r="J294" s="676"/>
    </row>
    <row r="295" spans="1:10" ht="12.75">
      <c r="A295" s="22"/>
      <c r="B295" s="22"/>
      <c r="C295" s="22"/>
      <c r="D295" s="22"/>
      <c r="E295" s="22"/>
      <c r="F295" s="22"/>
      <c r="G295" s="22"/>
      <c r="H295" s="22"/>
      <c r="I295" s="527"/>
      <c r="J295" s="676"/>
    </row>
    <row r="296" spans="1:10" ht="12.75">
      <c r="A296" s="22"/>
      <c r="B296" s="22"/>
      <c r="C296" s="22"/>
      <c r="D296" s="22"/>
      <c r="E296" s="22"/>
      <c r="F296" s="22"/>
      <c r="G296" s="22"/>
      <c r="H296" s="22"/>
      <c r="I296" s="527"/>
      <c r="J296" s="676"/>
    </row>
    <row r="297" spans="1:10" ht="12.75">
      <c r="A297" s="22"/>
      <c r="B297" s="22"/>
      <c r="C297" s="22"/>
      <c r="D297" s="22"/>
      <c r="E297" s="22"/>
      <c r="F297" s="22"/>
      <c r="G297" s="22"/>
      <c r="H297" s="22"/>
      <c r="I297" s="527"/>
      <c r="J297" s="676"/>
    </row>
    <row r="298" spans="1:10" ht="12.75">
      <c r="A298" s="22"/>
      <c r="B298" s="22"/>
      <c r="C298" s="22"/>
      <c r="D298" s="22"/>
      <c r="E298" s="22"/>
      <c r="F298" s="22"/>
      <c r="G298" s="22"/>
      <c r="H298" s="22"/>
      <c r="I298" s="527"/>
      <c r="J298" s="676"/>
    </row>
    <row r="299" spans="1:10" ht="12.75">
      <c r="A299" s="22"/>
      <c r="B299" s="22"/>
      <c r="C299" s="22"/>
      <c r="D299" s="22"/>
      <c r="E299" s="22"/>
      <c r="F299" s="22"/>
      <c r="G299" s="22"/>
      <c r="H299" s="22"/>
      <c r="I299" s="527"/>
      <c r="J299" s="676"/>
    </row>
    <row r="300" spans="1:10" ht="12.75">
      <c r="A300" s="22"/>
      <c r="B300" s="22"/>
      <c r="C300" s="22"/>
      <c r="D300" s="22"/>
      <c r="E300" s="22"/>
      <c r="F300" s="22"/>
      <c r="G300" s="22"/>
      <c r="H300" s="22"/>
      <c r="I300" s="527"/>
      <c r="J300" s="676"/>
    </row>
    <row r="301" spans="1:10" ht="12.75">
      <c r="A301" s="22"/>
      <c r="B301" s="22"/>
      <c r="C301" s="22"/>
      <c r="D301" s="22"/>
      <c r="E301" s="22"/>
      <c r="F301" s="22"/>
      <c r="G301" s="22"/>
      <c r="H301" s="22"/>
      <c r="I301" s="527"/>
      <c r="J301" s="676"/>
    </row>
    <row r="302" spans="1:10" ht="12.75">
      <c r="A302" s="22"/>
      <c r="B302" s="22"/>
      <c r="C302" s="22"/>
      <c r="D302" s="22"/>
      <c r="E302" s="22"/>
      <c r="F302" s="22"/>
      <c r="G302" s="22"/>
      <c r="H302" s="22"/>
      <c r="I302" s="527"/>
      <c r="J302" s="676"/>
    </row>
    <row r="303" spans="1:10" ht="12.75">
      <c r="A303" s="22"/>
      <c r="B303" s="22"/>
      <c r="C303" s="22"/>
      <c r="D303" s="22"/>
      <c r="E303" s="22"/>
      <c r="F303" s="22"/>
      <c r="G303" s="22"/>
      <c r="H303" s="22"/>
      <c r="I303" s="527"/>
      <c r="J303" s="676"/>
    </row>
    <row r="304" spans="1:10" ht="12.75">
      <c r="A304" s="22"/>
      <c r="B304" s="22"/>
      <c r="C304" s="22"/>
      <c r="D304" s="22"/>
      <c r="E304" s="22"/>
      <c r="F304" s="22"/>
      <c r="G304" s="22"/>
      <c r="H304" s="22"/>
      <c r="I304" s="527"/>
      <c r="J304" s="676"/>
    </row>
    <row r="305" spans="1:10" ht="12.75">
      <c r="A305" s="22"/>
      <c r="B305" s="22"/>
      <c r="C305" s="22"/>
      <c r="D305" s="22"/>
      <c r="E305" s="22"/>
      <c r="F305" s="22"/>
      <c r="G305" s="22"/>
      <c r="H305" s="22"/>
      <c r="I305" s="527"/>
      <c r="J305" s="676"/>
    </row>
    <row r="306" spans="1:10" ht="12.75">
      <c r="A306" s="22"/>
      <c r="B306" s="22"/>
      <c r="C306" s="22"/>
      <c r="D306" s="22"/>
      <c r="E306" s="22"/>
      <c r="F306" s="22"/>
      <c r="G306" s="22"/>
      <c r="H306" s="22"/>
      <c r="I306" s="527"/>
      <c r="J306" s="676"/>
    </row>
    <row r="307" spans="1:10" ht="12.75">
      <c r="A307" s="22"/>
      <c r="B307" s="22"/>
      <c r="C307" s="22"/>
      <c r="D307" s="22"/>
      <c r="E307" s="22"/>
      <c r="F307" s="22"/>
      <c r="G307" s="22"/>
      <c r="H307" s="22"/>
      <c r="I307" s="527"/>
      <c r="J307" s="676"/>
    </row>
    <row r="308" spans="1:10" ht="12.75">
      <c r="A308" s="22"/>
      <c r="B308" s="22"/>
      <c r="C308" s="22"/>
      <c r="D308" s="22"/>
      <c r="E308" s="22"/>
      <c r="F308" s="22"/>
      <c r="G308" s="22"/>
      <c r="H308" s="22"/>
      <c r="I308" s="527"/>
      <c r="J308" s="676"/>
    </row>
    <row r="309" spans="1:10" ht="12.75">
      <c r="A309" s="22"/>
      <c r="B309" s="22"/>
      <c r="C309" s="22"/>
      <c r="D309" s="22"/>
      <c r="E309" s="22"/>
      <c r="F309" s="22"/>
      <c r="G309" s="22"/>
      <c r="H309" s="22"/>
      <c r="I309" s="527"/>
      <c r="J309" s="676"/>
    </row>
    <row r="310" spans="1:10" ht="12.75">
      <c r="A310" s="22"/>
      <c r="B310" s="22"/>
      <c r="C310" s="22"/>
      <c r="D310" s="22"/>
      <c r="E310" s="22"/>
      <c r="F310" s="22"/>
      <c r="G310" s="22"/>
      <c r="H310" s="22"/>
      <c r="I310" s="527"/>
      <c r="J310" s="676"/>
    </row>
    <row r="311" spans="1:10" ht="12.75">
      <c r="A311" s="22"/>
      <c r="B311" s="22"/>
      <c r="C311" s="22"/>
      <c r="D311" s="22"/>
      <c r="E311" s="22"/>
      <c r="F311" s="22"/>
      <c r="G311" s="22"/>
      <c r="H311" s="22"/>
      <c r="I311" s="527"/>
      <c r="J311" s="676"/>
    </row>
    <row r="312" spans="1:10" ht="12.75">
      <c r="A312" s="22"/>
      <c r="B312" s="22"/>
      <c r="C312" s="22"/>
      <c r="D312" s="22"/>
      <c r="E312" s="22"/>
      <c r="F312" s="22"/>
      <c r="G312" s="22"/>
      <c r="H312" s="22"/>
      <c r="I312" s="527"/>
      <c r="J312" s="676"/>
    </row>
    <row r="313" spans="1:10" ht="12.75">
      <c r="A313" s="22"/>
      <c r="B313" s="22"/>
      <c r="C313" s="22"/>
      <c r="D313" s="22"/>
      <c r="E313" s="22"/>
      <c r="F313" s="22"/>
      <c r="G313" s="22"/>
      <c r="H313" s="22"/>
      <c r="I313" s="527"/>
      <c r="J313" s="676"/>
    </row>
    <row r="314" spans="1:10" ht="12.75">
      <c r="A314" s="22"/>
      <c r="B314" s="22"/>
      <c r="C314" s="22"/>
      <c r="D314" s="22"/>
      <c r="E314" s="22"/>
      <c r="F314" s="22"/>
      <c r="G314" s="22"/>
      <c r="H314" s="22"/>
      <c r="I314" s="527"/>
      <c r="J314" s="676"/>
    </row>
    <row r="315" spans="1:10" ht="12.75">
      <c r="A315" s="22"/>
      <c r="B315" s="22"/>
      <c r="C315" s="22"/>
      <c r="D315" s="22"/>
      <c r="E315" s="22"/>
      <c r="F315" s="22"/>
      <c r="G315" s="22"/>
      <c r="H315" s="22"/>
      <c r="I315" s="527"/>
      <c r="J315" s="676"/>
    </row>
    <row r="316" spans="1:10" ht="12.75">
      <c r="A316" s="22"/>
      <c r="B316" s="22"/>
      <c r="C316" s="22"/>
      <c r="D316" s="22"/>
      <c r="E316" s="22"/>
      <c r="F316" s="22"/>
      <c r="G316" s="22"/>
      <c r="H316" s="22"/>
      <c r="I316" s="527"/>
      <c r="J316" s="676"/>
    </row>
    <row r="317" spans="1:10" ht="12.75">
      <c r="A317" s="22"/>
      <c r="B317" s="22"/>
      <c r="C317" s="22"/>
      <c r="D317" s="22"/>
      <c r="E317" s="22"/>
      <c r="F317" s="22"/>
      <c r="G317" s="22"/>
      <c r="H317" s="22"/>
      <c r="I317" s="527"/>
      <c r="J317" s="676"/>
    </row>
    <row r="318" spans="1:10" ht="12.75">
      <c r="A318" s="22"/>
      <c r="B318" s="22"/>
      <c r="C318" s="22"/>
      <c r="D318" s="22"/>
      <c r="E318" s="22"/>
      <c r="F318" s="22"/>
      <c r="G318" s="22"/>
      <c r="H318" s="22"/>
      <c r="I318" s="527"/>
      <c r="J318" s="676"/>
    </row>
    <row r="319" spans="1:10" ht="12.75">
      <c r="A319" s="22"/>
      <c r="B319" s="22"/>
      <c r="C319" s="22"/>
      <c r="D319" s="22"/>
      <c r="E319" s="22"/>
      <c r="F319" s="22"/>
      <c r="G319" s="22"/>
      <c r="H319" s="22"/>
      <c r="I319" s="527"/>
      <c r="J319" s="676"/>
    </row>
    <row r="320" spans="1:10" ht="12.75">
      <c r="A320" s="22"/>
      <c r="B320" s="22"/>
      <c r="C320" s="22"/>
      <c r="D320" s="22"/>
      <c r="E320" s="22"/>
      <c r="F320" s="22"/>
      <c r="G320" s="22"/>
      <c r="H320" s="22"/>
      <c r="I320" s="527"/>
      <c r="J320" s="676"/>
    </row>
    <row r="321" spans="1:10" ht="12.75">
      <c r="A321" s="22"/>
      <c r="B321" s="22"/>
      <c r="C321" s="22"/>
      <c r="D321" s="22"/>
      <c r="E321" s="22"/>
      <c r="F321" s="22"/>
      <c r="G321" s="22"/>
      <c r="H321" s="22"/>
      <c r="I321" s="527"/>
      <c r="J321" s="676"/>
    </row>
    <row r="322" spans="1:10" ht="12.75">
      <c r="A322" s="22"/>
      <c r="B322" s="22"/>
      <c r="C322" s="22"/>
      <c r="D322" s="22"/>
      <c r="E322" s="22"/>
      <c r="F322" s="22"/>
      <c r="G322" s="22"/>
      <c r="H322" s="22"/>
      <c r="I322" s="527"/>
      <c r="J322" s="676"/>
    </row>
    <row r="323" spans="1:10" ht="12.75">
      <c r="A323" s="22"/>
      <c r="B323" s="22"/>
      <c r="C323" s="22"/>
      <c r="D323" s="22"/>
      <c r="E323" s="22"/>
      <c r="F323" s="22"/>
      <c r="G323" s="22"/>
      <c r="H323" s="22"/>
      <c r="I323" s="527"/>
      <c r="J323" s="676"/>
    </row>
    <row r="324" spans="1:10" ht="12.75">
      <c r="A324" s="22"/>
      <c r="B324" s="22"/>
      <c r="C324" s="22"/>
      <c r="D324" s="22"/>
      <c r="E324" s="22"/>
      <c r="F324" s="22"/>
      <c r="G324" s="22"/>
      <c r="H324" s="22"/>
      <c r="I324" s="527"/>
      <c r="J324" s="676"/>
    </row>
    <row r="325" spans="1:10" ht="12.75">
      <c r="A325" s="22"/>
      <c r="B325" s="22"/>
      <c r="C325" s="22"/>
      <c r="D325" s="22"/>
      <c r="E325" s="22"/>
      <c r="F325" s="22"/>
      <c r="G325" s="22"/>
      <c r="H325" s="22"/>
      <c r="I325" s="527"/>
      <c r="J325" s="676"/>
    </row>
    <row r="326" spans="1:10" ht="12.75">
      <c r="A326" s="22"/>
      <c r="B326" s="22"/>
      <c r="C326" s="22"/>
      <c r="D326" s="22"/>
      <c r="E326" s="22"/>
      <c r="F326" s="22"/>
      <c r="G326" s="22"/>
      <c r="H326" s="22"/>
      <c r="I326" s="527"/>
      <c r="J326" s="676"/>
    </row>
    <row r="327" spans="1:10" ht="12.75">
      <c r="A327" s="22"/>
      <c r="B327" s="22"/>
      <c r="C327" s="22"/>
      <c r="D327" s="22"/>
      <c r="E327" s="22"/>
      <c r="F327" s="22"/>
      <c r="G327" s="22"/>
      <c r="H327" s="22"/>
      <c r="I327" s="527"/>
      <c r="J327" s="676"/>
    </row>
    <row r="328" spans="1:10" ht="12.75">
      <c r="A328" s="22"/>
      <c r="B328" s="22"/>
      <c r="C328" s="22"/>
      <c r="D328" s="22"/>
      <c r="E328" s="22"/>
      <c r="F328" s="22"/>
      <c r="G328" s="22"/>
      <c r="H328" s="22"/>
      <c r="I328" s="527"/>
      <c r="J328" s="676"/>
    </row>
    <row r="329" spans="1:10" ht="12.75">
      <c r="A329" s="22"/>
      <c r="B329" s="22"/>
      <c r="C329" s="22"/>
      <c r="D329" s="22"/>
      <c r="E329" s="22"/>
      <c r="F329" s="22"/>
      <c r="G329" s="22"/>
      <c r="H329" s="22"/>
      <c r="I329" s="527"/>
      <c r="J329" s="676"/>
    </row>
    <row r="330" spans="1:10" ht="12.75">
      <c r="A330" s="22"/>
      <c r="B330" s="22"/>
      <c r="C330" s="22"/>
      <c r="D330" s="22"/>
      <c r="E330" s="22"/>
      <c r="F330" s="22"/>
      <c r="G330" s="22"/>
      <c r="H330" s="22"/>
      <c r="I330" s="527"/>
      <c r="J330" s="676"/>
    </row>
    <row r="331" spans="1:10" ht="12.75">
      <c r="A331" s="22"/>
      <c r="B331" s="22"/>
      <c r="C331" s="22"/>
      <c r="D331" s="22"/>
      <c r="E331" s="22"/>
      <c r="F331" s="22"/>
      <c r="G331" s="22"/>
      <c r="H331" s="22"/>
      <c r="I331" s="527"/>
      <c r="J331" s="676"/>
    </row>
    <row r="332" spans="1:10" ht="12.75">
      <c r="A332" s="22"/>
      <c r="B332" s="22"/>
      <c r="C332" s="22"/>
      <c r="D332" s="22"/>
      <c r="E332" s="22"/>
      <c r="F332" s="22"/>
      <c r="G332" s="22"/>
      <c r="H332" s="22"/>
      <c r="I332" s="527"/>
      <c r="J332" s="676"/>
    </row>
    <row r="333" spans="1:10" ht="12.75">
      <c r="A333" s="22"/>
      <c r="B333" s="22"/>
      <c r="C333" s="22"/>
      <c r="D333" s="22"/>
      <c r="E333" s="22"/>
      <c r="F333" s="22"/>
      <c r="G333" s="22"/>
      <c r="H333" s="22"/>
      <c r="I333" s="527"/>
      <c r="J333" s="676"/>
    </row>
    <row r="334" spans="1:10" ht="12.75">
      <c r="A334" s="22"/>
      <c r="B334" s="22"/>
      <c r="C334" s="22"/>
      <c r="D334" s="22"/>
      <c r="E334" s="22"/>
      <c r="F334" s="22"/>
      <c r="G334" s="22"/>
      <c r="H334" s="22"/>
      <c r="I334" s="527"/>
      <c r="J334" s="676"/>
    </row>
    <row r="335" spans="1:10" ht="12.75">
      <c r="A335" s="22"/>
      <c r="B335" s="22"/>
      <c r="C335" s="22"/>
      <c r="D335" s="22"/>
      <c r="E335" s="22"/>
      <c r="F335" s="22"/>
      <c r="G335" s="22"/>
      <c r="H335" s="22"/>
      <c r="I335" s="527"/>
      <c r="J335" s="676"/>
    </row>
    <row r="336" spans="1:10" ht="12.75">
      <c r="A336" s="22"/>
      <c r="B336" s="22"/>
      <c r="C336" s="22"/>
      <c r="D336" s="22"/>
      <c r="E336" s="22"/>
      <c r="F336" s="22"/>
      <c r="G336" s="22"/>
      <c r="H336" s="22"/>
      <c r="I336" s="527"/>
      <c r="J336" s="676"/>
    </row>
    <row r="337" spans="1:10" ht="12.75">
      <c r="A337" s="22"/>
      <c r="B337" s="22"/>
      <c r="C337" s="22"/>
      <c r="D337" s="22"/>
      <c r="E337" s="22"/>
      <c r="F337" s="22"/>
      <c r="G337" s="22"/>
      <c r="H337" s="22"/>
      <c r="I337" s="527"/>
      <c r="J337" s="676"/>
    </row>
    <row r="338" spans="1:10" ht="12.75">
      <c r="A338" s="22"/>
      <c r="B338" s="22"/>
      <c r="C338" s="22"/>
      <c r="D338" s="22"/>
      <c r="E338" s="22"/>
      <c r="F338" s="22"/>
      <c r="G338" s="22"/>
      <c r="H338" s="22"/>
      <c r="I338" s="527"/>
      <c r="J338" s="676"/>
    </row>
    <row r="339" spans="1:10" ht="12.75">
      <c r="A339" s="22"/>
      <c r="B339" s="22"/>
      <c r="C339" s="22"/>
      <c r="D339" s="22"/>
      <c r="E339" s="22"/>
      <c r="F339" s="22"/>
      <c r="G339" s="22"/>
      <c r="H339" s="22"/>
      <c r="I339" s="527"/>
      <c r="J339" s="676"/>
    </row>
    <row r="340" spans="1:10" ht="12.75">
      <c r="A340" s="22"/>
      <c r="B340" s="22"/>
      <c r="C340" s="22"/>
      <c r="D340" s="22"/>
      <c r="E340" s="22"/>
      <c r="F340" s="22"/>
      <c r="G340" s="22"/>
      <c r="H340" s="22"/>
      <c r="I340" s="527"/>
      <c r="J340" s="676"/>
    </row>
    <row r="341" spans="1:10" ht="12.75">
      <c r="A341" s="22"/>
      <c r="B341" s="22"/>
      <c r="C341" s="22"/>
      <c r="D341" s="22"/>
      <c r="E341" s="22"/>
      <c r="F341" s="22"/>
      <c r="G341" s="22"/>
      <c r="H341" s="22"/>
      <c r="I341" s="527"/>
      <c r="J341" s="676"/>
    </row>
    <row r="342" spans="1:10" ht="12.75">
      <c r="A342" s="22"/>
      <c r="B342" s="22"/>
      <c r="C342" s="22"/>
      <c r="D342" s="22"/>
      <c r="E342" s="22"/>
      <c r="F342" s="22"/>
      <c r="G342" s="22"/>
      <c r="H342" s="22"/>
      <c r="I342" s="527"/>
      <c r="J342" s="676"/>
    </row>
    <row r="343" spans="1:10" ht="12.75">
      <c r="A343" s="22"/>
      <c r="B343" s="22"/>
      <c r="C343" s="22"/>
      <c r="D343" s="22"/>
      <c r="E343" s="22"/>
      <c r="F343" s="22"/>
      <c r="G343" s="22"/>
      <c r="H343" s="22"/>
      <c r="I343" s="527"/>
      <c r="J343" s="676"/>
    </row>
    <row r="344" spans="1:10" ht="12.75">
      <c r="A344" s="22"/>
      <c r="B344" s="22"/>
      <c r="C344" s="22"/>
      <c r="D344" s="22"/>
      <c r="E344" s="22"/>
      <c r="F344" s="22"/>
      <c r="G344" s="22"/>
      <c r="H344" s="22"/>
      <c r="I344" s="527"/>
      <c r="J344" s="676"/>
    </row>
    <row r="345" spans="1:10" ht="12.75">
      <c r="A345" s="22"/>
      <c r="B345" s="22"/>
      <c r="C345" s="22"/>
      <c r="D345" s="22"/>
      <c r="E345" s="22"/>
      <c r="F345" s="22"/>
      <c r="G345" s="22"/>
      <c r="H345" s="22"/>
      <c r="I345" s="527"/>
      <c r="J345" s="676"/>
    </row>
    <row r="346" spans="1:10" ht="12.75">
      <c r="A346" s="22"/>
      <c r="B346" s="22"/>
      <c r="C346" s="22"/>
      <c r="D346" s="22"/>
      <c r="E346" s="22"/>
      <c r="F346" s="22"/>
      <c r="G346" s="22"/>
      <c r="H346" s="22"/>
      <c r="I346" s="527"/>
      <c r="J346" s="676"/>
    </row>
    <row r="347" spans="1:10" ht="12.75">
      <c r="A347" s="22"/>
      <c r="B347" s="22"/>
      <c r="C347" s="22"/>
      <c r="D347" s="22"/>
      <c r="E347" s="22"/>
      <c r="F347" s="22"/>
      <c r="G347" s="22"/>
      <c r="H347" s="22"/>
      <c r="I347" s="527"/>
      <c r="J347" s="676"/>
    </row>
    <row r="348" spans="1:10" ht="12.75">
      <c r="A348" s="22"/>
      <c r="B348" s="22"/>
      <c r="C348" s="22"/>
      <c r="D348" s="22"/>
      <c r="E348" s="22"/>
      <c r="F348" s="22"/>
      <c r="G348" s="22"/>
      <c r="H348" s="22"/>
      <c r="I348" s="527"/>
      <c r="J348" s="676"/>
    </row>
    <row r="349" spans="1:10" ht="12.75">
      <c r="A349" s="22"/>
      <c r="B349" s="22"/>
      <c r="C349" s="22"/>
      <c r="D349" s="22"/>
      <c r="E349" s="22"/>
      <c r="F349" s="22"/>
      <c r="G349" s="22"/>
      <c r="H349" s="22"/>
      <c r="I349" s="527"/>
      <c r="J349" s="676"/>
    </row>
    <row r="350" spans="1:10" ht="12.75">
      <c r="A350" s="22"/>
      <c r="B350" s="22"/>
      <c r="C350" s="22"/>
      <c r="D350" s="22"/>
      <c r="E350" s="22"/>
      <c r="F350" s="22"/>
      <c r="G350" s="22"/>
      <c r="H350" s="22"/>
      <c r="I350" s="527"/>
      <c r="J350" s="676"/>
    </row>
    <row r="351" spans="1:10" ht="12.75">
      <c r="A351" s="22"/>
      <c r="B351" s="22"/>
      <c r="C351" s="22"/>
      <c r="D351" s="22"/>
      <c r="E351" s="22"/>
      <c r="F351" s="22"/>
      <c r="G351" s="22"/>
      <c r="H351" s="22"/>
      <c r="I351" s="527"/>
      <c r="J351" s="676"/>
    </row>
    <row r="352" spans="1:10" ht="12.75">
      <c r="A352" s="22"/>
      <c r="B352" s="22"/>
      <c r="C352" s="22"/>
      <c r="D352" s="22"/>
      <c r="E352" s="22"/>
      <c r="F352" s="22"/>
      <c r="G352" s="22"/>
      <c r="H352" s="22"/>
      <c r="I352" s="527"/>
      <c r="J352" s="676"/>
    </row>
    <row r="353" spans="1:10" ht="12.75">
      <c r="A353" s="22"/>
      <c r="B353" s="22"/>
      <c r="C353" s="22"/>
      <c r="D353" s="22"/>
      <c r="E353" s="22"/>
      <c r="F353" s="22"/>
      <c r="G353" s="22"/>
      <c r="H353" s="22"/>
      <c r="I353" s="527"/>
      <c r="J353" s="676"/>
    </row>
    <row r="354" spans="1:10" ht="12.75">
      <c r="A354" s="22"/>
      <c r="B354" s="22"/>
      <c r="C354" s="22"/>
      <c r="D354" s="22"/>
      <c r="E354" s="22"/>
      <c r="F354" s="22"/>
      <c r="G354" s="22"/>
      <c r="H354" s="22"/>
      <c r="I354" s="527"/>
      <c r="J354" s="676"/>
    </row>
    <row r="355" spans="1:10" ht="12.75">
      <c r="A355" s="22"/>
      <c r="B355" s="22"/>
      <c r="C355" s="22"/>
      <c r="D355" s="22"/>
      <c r="E355" s="22"/>
      <c r="F355" s="22"/>
      <c r="G355" s="22"/>
      <c r="H355" s="22"/>
      <c r="I355" s="527"/>
      <c r="J355" s="676"/>
    </row>
    <row r="356" spans="1:10" ht="12.75">
      <c r="A356" s="22"/>
      <c r="B356" s="22"/>
      <c r="C356" s="22"/>
      <c r="D356" s="22"/>
      <c r="E356" s="22"/>
      <c r="F356" s="22"/>
      <c r="G356" s="22"/>
      <c r="H356" s="22"/>
      <c r="I356" s="527"/>
      <c r="J356" s="676"/>
    </row>
    <row r="357" spans="1:10" ht="12.75">
      <c r="A357" s="22"/>
      <c r="B357" s="22"/>
      <c r="C357" s="22"/>
      <c r="D357" s="22"/>
      <c r="E357" s="22"/>
      <c r="F357" s="22"/>
      <c r="G357" s="22"/>
      <c r="H357" s="22"/>
      <c r="I357" s="527"/>
      <c r="J357" s="676"/>
    </row>
    <row r="358" spans="1:10" ht="12.75">
      <c r="A358" s="22"/>
      <c r="B358" s="22"/>
      <c r="C358" s="22"/>
      <c r="D358" s="22"/>
      <c r="E358" s="22"/>
      <c r="F358" s="22"/>
      <c r="G358" s="22"/>
      <c r="H358" s="22"/>
      <c r="I358" s="527"/>
      <c r="J358" s="676"/>
    </row>
    <row r="359" spans="1:10" ht="12.75">
      <c r="A359" s="22"/>
      <c r="B359" s="22"/>
      <c r="C359" s="22"/>
      <c r="D359" s="22"/>
      <c r="E359" s="22"/>
      <c r="F359" s="22"/>
      <c r="G359" s="22"/>
      <c r="H359" s="22"/>
      <c r="I359" s="527"/>
      <c r="J359" s="676"/>
    </row>
    <row r="360" spans="1:10" ht="12.75">
      <c r="A360" s="22"/>
      <c r="B360" s="22"/>
      <c r="C360" s="22"/>
      <c r="D360" s="22"/>
      <c r="E360" s="22"/>
      <c r="F360" s="22"/>
      <c r="G360" s="22"/>
      <c r="H360" s="22"/>
      <c r="I360" s="527"/>
      <c r="J360" s="676"/>
    </row>
    <row r="361" spans="1:10" ht="12.75">
      <c r="A361" s="22"/>
      <c r="B361" s="22"/>
      <c r="C361" s="22"/>
      <c r="D361" s="22"/>
      <c r="E361" s="22"/>
      <c r="F361" s="22"/>
      <c r="G361" s="22"/>
      <c r="H361" s="22"/>
      <c r="I361" s="527"/>
      <c r="J361" s="676"/>
    </row>
    <row r="362" spans="1:10" ht="12.75">
      <c r="A362" s="22"/>
      <c r="B362" s="22"/>
      <c r="C362" s="22"/>
      <c r="D362" s="22"/>
      <c r="E362" s="22"/>
      <c r="F362" s="22"/>
      <c r="G362" s="22"/>
      <c r="H362" s="22"/>
      <c r="I362" s="527"/>
      <c r="J362" s="676"/>
    </row>
    <row r="363" spans="1:10" ht="12.75">
      <c r="A363" s="22"/>
      <c r="B363" s="22"/>
      <c r="C363" s="22"/>
      <c r="D363" s="22"/>
      <c r="E363" s="22"/>
      <c r="F363" s="22"/>
      <c r="G363" s="22"/>
      <c r="H363" s="22"/>
      <c r="I363" s="527"/>
      <c r="J363" s="676"/>
    </row>
    <row r="364" spans="1:10" ht="12.75">
      <c r="A364" s="22"/>
      <c r="B364" s="22"/>
      <c r="C364" s="22"/>
      <c r="D364" s="22"/>
      <c r="E364" s="22"/>
      <c r="F364" s="22"/>
      <c r="G364" s="22"/>
      <c r="H364" s="22"/>
      <c r="I364" s="527"/>
      <c r="J364" s="676"/>
    </row>
    <row r="365" spans="1:10" ht="12.75">
      <c r="A365" s="22"/>
      <c r="B365" s="22"/>
      <c r="C365" s="22"/>
      <c r="D365" s="22"/>
      <c r="E365" s="22"/>
      <c r="F365" s="22"/>
      <c r="G365" s="22"/>
      <c r="H365" s="22"/>
      <c r="I365" s="527"/>
      <c r="J365" s="676"/>
    </row>
    <row r="366" spans="1:10" ht="12.75">
      <c r="A366" s="22"/>
      <c r="B366" s="22"/>
      <c r="C366" s="22"/>
      <c r="D366" s="22"/>
      <c r="E366" s="22"/>
      <c r="F366" s="22"/>
      <c r="G366" s="22"/>
      <c r="H366" s="22"/>
      <c r="I366" s="527"/>
      <c r="J366" s="676"/>
    </row>
    <row r="367" spans="1:10" ht="12.75">
      <c r="A367" s="22"/>
      <c r="B367" s="22"/>
      <c r="C367" s="22"/>
      <c r="D367" s="22"/>
      <c r="E367" s="22"/>
      <c r="F367" s="22"/>
      <c r="G367" s="22"/>
      <c r="H367" s="22"/>
      <c r="I367" s="527"/>
      <c r="J367" s="676"/>
    </row>
    <row r="368" spans="1:10" ht="12.75">
      <c r="A368" s="22"/>
      <c r="B368" s="22"/>
      <c r="C368" s="22"/>
      <c r="D368" s="22"/>
      <c r="E368" s="22"/>
      <c r="F368" s="22"/>
      <c r="G368" s="22"/>
      <c r="H368" s="22"/>
      <c r="I368" s="527"/>
      <c r="J368" s="676"/>
    </row>
    <row r="369" spans="1:10" ht="12.75">
      <c r="A369" s="22"/>
      <c r="B369" s="22"/>
      <c r="C369" s="22"/>
      <c r="D369" s="22"/>
      <c r="E369" s="22"/>
      <c r="F369" s="22"/>
      <c r="G369" s="22"/>
      <c r="H369" s="22"/>
      <c r="I369" s="527"/>
      <c r="J369" s="676"/>
    </row>
    <row r="370" spans="1:10" ht="12.75">
      <c r="A370" s="22"/>
      <c r="B370" s="22"/>
      <c r="C370" s="22"/>
      <c r="D370" s="22"/>
      <c r="E370" s="22"/>
      <c r="F370" s="22"/>
      <c r="G370" s="22"/>
      <c r="H370" s="22"/>
      <c r="I370" s="527"/>
      <c r="J370" s="676"/>
    </row>
    <row r="371" spans="1:10" ht="12.75">
      <c r="A371" s="22"/>
      <c r="B371" s="22"/>
      <c r="C371" s="22"/>
      <c r="D371" s="22"/>
      <c r="E371" s="22"/>
      <c r="F371" s="22"/>
      <c r="G371" s="22"/>
      <c r="H371" s="22"/>
      <c r="I371" s="527"/>
      <c r="J371" s="676"/>
    </row>
    <row r="372" spans="1:10" ht="12.75">
      <c r="A372" s="22"/>
      <c r="B372" s="22"/>
      <c r="C372" s="22"/>
      <c r="D372" s="22"/>
      <c r="E372" s="22"/>
      <c r="F372" s="22"/>
      <c r="G372" s="22"/>
      <c r="H372" s="22"/>
      <c r="I372" s="527"/>
      <c r="J372" s="676"/>
    </row>
    <row r="373" spans="1:10" ht="12.75">
      <c r="A373" s="22"/>
      <c r="B373" s="22"/>
      <c r="C373" s="22"/>
      <c r="D373" s="22"/>
      <c r="E373" s="22"/>
      <c r="F373" s="22"/>
      <c r="G373" s="22"/>
      <c r="H373" s="22"/>
      <c r="I373" s="527"/>
      <c r="J373" s="676"/>
    </row>
    <row r="374" spans="1:10" ht="12.75">
      <c r="A374" s="22"/>
      <c r="B374" s="22"/>
      <c r="C374" s="22"/>
      <c r="D374" s="22"/>
      <c r="E374" s="22"/>
      <c r="F374" s="22"/>
      <c r="G374" s="22"/>
      <c r="H374" s="22"/>
      <c r="I374" s="527"/>
      <c r="J374" s="676"/>
    </row>
    <row r="375" spans="1:10" ht="12.75">
      <c r="A375" s="22"/>
      <c r="B375" s="22"/>
      <c r="C375" s="22"/>
      <c r="D375" s="22"/>
      <c r="E375" s="22"/>
      <c r="F375" s="22"/>
      <c r="G375" s="22"/>
      <c r="H375" s="22"/>
      <c r="I375" s="527"/>
      <c r="J375" s="676"/>
    </row>
    <row r="376" spans="1:10" ht="12.75">
      <c r="A376" s="22"/>
      <c r="B376" s="22"/>
      <c r="C376" s="22"/>
      <c r="D376" s="22"/>
      <c r="E376" s="22"/>
      <c r="F376" s="22"/>
      <c r="G376" s="22"/>
      <c r="H376" s="22"/>
      <c r="I376" s="527"/>
      <c r="J376" s="676"/>
    </row>
    <row r="377" spans="1:10" ht="12.75">
      <c r="A377" s="22"/>
      <c r="B377" s="22"/>
      <c r="C377" s="22"/>
      <c r="D377" s="22"/>
      <c r="E377" s="22"/>
      <c r="F377" s="22"/>
      <c r="G377" s="22"/>
      <c r="H377" s="22"/>
      <c r="I377" s="527"/>
      <c r="J377" s="676"/>
    </row>
    <row r="378" spans="1:10" ht="12.75">
      <c r="A378" s="22"/>
      <c r="B378" s="22"/>
      <c r="C378" s="22"/>
      <c r="D378" s="22"/>
      <c r="E378" s="22"/>
      <c r="F378" s="22"/>
      <c r="G378" s="22"/>
      <c r="H378" s="22"/>
      <c r="I378" s="527"/>
      <c r="J378" s="676"/>
    </row>
    <row r="379" spans="1:10" ht="12.75">
      <c r="A379" s="22"/>
      <c r="B379" s="22"/>
      <c r="C379" s="22"/>
      <c r="D379" s="22"/>
      <c r="E379" s="22"/>
      <c r="F379" s="22"/>
      <c r="G379" s="22"/>
      <c r="H379" s="22"/>
      <c r="I379" s="527"/>
      <c r="J379" s="676"/>
    </row>
    <row r="380" spans="1:10" ht="12.75">
      <c r="A380" s="22"/>
      <c r="B380" s="22"/>
      <c r="C380" s="22"/>
      <c r="D380" s="22"/>
      <c r="E380" s="22"/>
      <c r="F380" s="22"/>
      <c r="G380" s="22"/>
      <c r="H380" s="22"/>
      <c r="I380" s="527"/>
      <c r="J380" s="676"/>
    </row>
    <row r="381" spans="1:10" ht="12.75">
      <c r="A381" s="22"/>
      <c r="B381" s="22"/>
      <c r="C381" s="22"/>
      <c r="D381" s="22"/>
      <c r="E381" s="22"/>
      <c r="F381" s="22"/>
      <c r="G381" s="22"/>
      <c r="H381" s="22"/>
      <c r="I381" s="527"/>
      <c r="J381" s="676"/>
    </row>
    <row r="382" spans="1:10" ht="12.75">
      <c r="A382" s="22"/>
      <c r="B382" s="22"/>
      <c r="C382" s="22"/>
      <c r="D382" s="22"/>
      <c r="E382" s="22"/>
      <c r="F382" s="22"/>
      <c r="G382" s="22"/>
      <c r="H382" s="22"/>
      <c r="I382" s="527"/>
      <c r="J382" s="676"/>
    </row>
    <row r="383" spans="1:10" ht="12.75">
      <c r="A383" s="22"/>
      <c r="B383" s="22"/>
      <c r="C383" s="22"/>
      <c r="D383" s="22"/>
      <c r="E383" s="22"/>
      <c r="F383" s="22"/>
      <c r="G383" s="22"/>
      <c r="H383" s="22"/>
      <c r="I383" s="527"/>
      <c r="J383" s="676"/>
    </row>
    <row r="384" spans="1:10" ht="12.75">
      <c r="A384" s="22"/>
      <c r="B384" s="22"/>
      <c r="C384" s="22"/>
      <c r="D384" s="22"/>
      <c r="E384" s="22"/>
      <c r="F384" s="22"/>
      <c r="G384" s="22"/>
      <c r="H384" s="22"/>
      <c r="I384" s="527"/>
      <c r="J384" s="676"/>
    </row>
    <row r="385" spans="1:10" ht="12.75">
      <c r="A385" s="22"/>
      <c r="B385" s="22"/>
      <c r="C385" s="22"/>
      <c r="D385" s="22"/>
      <c r="E385" s="22"/>
      <c r="F385" s="22"/>
      <c r="G385" s="22"/>
      <c r="H385" s="22"/>
      <c r="I385" s="527"/>
      <c r="J385" s="676"/>
    </row>
    <row r="386" spans="1:10" ht="12.75">
      <c r="A386" s="22"/>
      <c r="B386" s="22"/>
      <c r="C386" s="22"/>
      <c r="D386" s="22"/>
      <c r="E386" s="22"/>
      <c r="F386" s="22"/>
      <c r="G386" s="22"/>
      <c r="H386" s="22"/>
      <c r="I386" s="527"/>
      <c r="J386" s="676"/>
    </row>
    <row r="387" spans="1:10" ht="12.75">
      <c r="A387" s="22"/>
      <c r="B387" s="22"/>
      <c r="C387" s="22"/>
      <c r="D387" s="22"/>
      <c r="E387" s="22"/>
      <c r="F387" s="22"/>
      <c r="G387" s="22"/>
      <c r="H387" s="22"/>
      <c r="I387" s="527"/>
      <c r="J387" s="676"/>
    </row>
    <row r="388" spans="1:10" ht="12.75">
      <c r="A388" s="22"/>
      <c r="B388" s="22"/>
      <c r="C388" s="22"/>
      <c r="D388" s="22"/>
      <c r="E388" s="22"/>
      <c r="F388" s="22"/>
      <c r="G388" s="22"/>
      <c r="H388" s="22"/>
      <c r="I388" s="527"/>
      <c r="J388" s="676"/>
    </row>
    <row r="389" spans="1:10" ht="12.75">
      <c r="A389" s="22"/>
      <c r="B389" s="22"/>
      <c r="C389" s="22"/>
      <c r="D389" s="22"/>
      <c r="E389" s="22"/>
      <c r="F389" s="22"/>
      <c r="G389" s="22"/>
      <c r="H389" s="22"/>
      <c r="I389" s="527"/>
      <c r="J389" s="676"/>
    </row>
    <row r="390" spans="1:10" ht="12.75">
      <c r="A390" s="22"/>
      <c r="B390" s="22"/>
      <c r="C390" s="22"/>
      <c r="D390" s="22"/>
      <c r="E390" s="22"/>
      <c r="F390" s="22"/>
      <c r="G390" s="22"/>
      <c r="H390" s="22"/>
      <c r="I390" s="527"/>
      <c r="J390" s="676"/>
    </row>
    <row r="391" spans="1:10" ht="12.75">
      <c r="A391" s="22"/>
      <c r="B391" s="22"/>
      <c r="C391" s="22"/>
      <c r="D391" s="22"/>
      <c r="E391" s="22"/>
      <c r="F391" s="22"/>
      <c r="G391" s="22"/>
      <c r="H391" s="22"/>
      <c r="I391" s="527"/>
      <c r="J391" s="676"/>
    </row>
    <row r="392" spans="1:10" ht="12.75">
      <c r="A392" s="22"/>
      <c r="B392" s="22"/>
      <c r="C392" s="22"/>
      <c r="D392" s="22"/>
      <c r="E392" s="22"/>
      <c r="F392" s="22"/>
      <c r="G392" s="22"/>
      <c r="H392" s="22"/>
      <c r="I392" s="527"/>
      <c r="J392" s="676"/>
    </row>
    <row r="393" spans="1:10" ht="12.75">
      <c r="A393" s="22"/>
      <c r="B393" s="22"/>
      <c r="C393" s="22"/>
      <c r="D393" s="22"/>
      <c r="E393" s="22"/>
      <c r="F393" s="22"/>
      <c r="G393" s="22"/>
      <c r="H393" s="22"/>
      <c r="I393" s="527"/>
      <c r="J393" s="676"/>
    </row>
    <row r="394" spans="1:10" ht="12.75">
      <c r="A394" s="22"/>
      <c r="B394" s="22"/>
      <c r="C394" s="22"/>
      <c r="D394" s="22"/>
      <c r="E394" s="22"/>
      <c r="F394" s="22"/>
      <c r="G394" s="22"/>
      <c r="H394" s="22"/>
      <c r="I394" s="527"/>
      <c r="J394" s="676"/>
    </row>
    <row r="395" spans="1:10" ht="12.75">
      <c r="A395" s="22"/>
      <c r="B395" s="22"/>
      <c r="C395" s="22"/>
      <c r="D395" s="22"/>
      <c r="E395" s="22"/>
      <c r="F395" s="22"/>
      <c r="G395" s="22"/>
      <c r="H395" s="22"/>
      <c r="I395" s="527"/>
      <c r="J395" s="676"/>
    </row>
    <row r="396" spans="1:10" ht="12.75">
      <c r="A396" s="22"/>
      <c r="B396" s="22"/>
      <c r="C396" s="22"/>
      <c r="D396" s="22"/>
      <c r="E396" s="22"/>
      <c r="F396" s="22"/>
      <c r="G396" s="22"/>
      <c r="H396" s="22"/>
      <c r="I396" s="527"/>
      <c r="J396" s="676"/>
    </row>
    <row r="397" spans="1:10" ht="12.75">
      <c r="A397" s="22"/>
      <c r="B397" s="22"/>
      <c r="C397" s="22"/>
      <c r="D397" s="22"/>
      <c r="E397" s="22"/>
      <c r="F397" s="22"/>
      <c r="G397" s="22"/>
      <c r="H397" s="22"/>
      <c r="I397" s="527"/>
      <c r="J397" s="676"/>
    </row>
    <row r="398" spans="1:10" ht="12.75">
      <c r="A398" s="22"/>
      <c r="B398" s="22"/>
      <c r="C398" s="22"/>
      <c r="D398" s="22"/>
      <c r="E398" s="22"/>
      <c r="F398" s="22"/>
      <c r="G398" s="22"/>
      <c r="H398" s="22"/>
      <c r="I398" s="527"/>
      <c r="J398" s="676"/>
    </row>
    <row r="399" spans="1:10" ht="12.75">
      <c r="A399" s="22"/>
      <c r="B399" s="22"/>
      <c r="C399" s="22"/>
      <c r="D399" s="22"/>
      <c r="E399" s="22"/>
      <c r="F399" s="22"/>
      <c r="G399" s="22"/>
      <c r="H399" s="22"/>
      <c r="I399" s="527"/>
      <c r="J399" s="676"/>
    </row>
    <row r="400" spans="1:10" ht="12.75">
      <c r="A400" s="22"/>
      <c r="B400" s="22"/>
      <c r="C400" s="22"/>
      <c r="D400" s="22"/>
      <c r="E400" s="22"/>
      <c r="F400" s="22"/>
      <c r="G400" s="22"/>
      <c r="H400" s="22"/>
      <c r="I400" s="527"/>
      <c r="J400" s="676"/>
    </row>
    <row r="401" spans="1:10" ht="12.75">
      <c r="A401" s="22"/>
      <c r="B401" s="22"/>
      <c r="C401" s="22"/>
      <c r="D401" s="22"/>
      <c r="E401" s="22"/>
      <c r="F401" s="22"/>
      <c r="G401" s="22"/>
      <c r="H401" s="22"/>
      <c r="I401" s="527"/>
      <c r="J401" s="676"/>
    </row>
    <row r="402" spans="1:10" ht="12.75">
      <c r="A402" s="22"/>
      <c r="B402" s="22"/>
      <c r="C402" s="22"/>
      <c r="D402" s="22"/>
      <c r="E402" s="22"/>
      <c r="F402" s="22"/>
      <c r="G402" s="22"/>
      <c r="H402" s="22"/>
      <c r="I402" s="527"/>
      <c r="J402" s="676"/>
    </row>
    <row r="403" spans="1:10" ht="12.75">
      <c r="A403" s="22"/>
      <c r="B403" s="22"/>
      <c r="C403" s="22"/>
      <c r="D403" s="22"/>
      <c r="E403" s="22"/>
      <c r="F403" s="22"/>
      <c r="G403" s="22"/>
      <c r="H403" s="22"/>
      <c r="I403" s="527"/>
      <c r="J403" s="676"/>
    </row>
    <row r="404" spans="1:10" ht="12.75">
      <c r="A404" s="22"/>
      <c r="B404" s="22"/>
      <c r="C404" s="22"/>
      <c r="D404" s="22"/>
      <c r="E404" s="22"/>
      <c r="F404" s="22"/>
      <c r="G404" s="22"/>
      <c r="H404" s="22"/>
      <c r="I404" s="527"/>
      <c r="J404" s="676"/>
    </row>
    <row r="405" spans="1:10" ht="12.75">
      <c r="A405" s="22"/>
      <c r="B405" s="22"/>
      <c r="C405" s="22"/>
      <c r="D405" s="22"/>
      <c r="E405" s="22"/>
      <c r="F405" s="22"/>
      <c r="G405" s="22"/>
      <c r="H405" s="22"/>
      <c r="I405" s="527"/>
      <c r="J405" s="676"/>
    </row>
    <row r="406" spans="1:10" ht="12.75">
      <c r="A406" s="22"/>
      <c r="B406" s="22"/>
      <c r="C406" s="22"/>
      <c r="D406" s="22"/>
      <c r="E406" s="22"/>
      <c r="F406" s="22"/>
      <c r="G406" s="22"/>
      <c r="H406" s="22"/>
      <c r="I406" s="527"/>
      <c r="J406" s="676"/>
    </row>
    <row r="407" spans="1:10" ht="12.75">
      <c r="A407" s="22"/>
      <c r="B407" s="22"/>
      <c r="C407" s="22"/>
      <c r="D407" s="22"/>
      <c r="E407" s="22"/>
      <c r="F407" s="22"/>
      <c r="G407" s="22"/>
      <c r="H407" s="22"/>
      <c r="I407" s="527"/>
      <c r="J407" s="676"/>
    </row>
    <row r="408" spans="1:10" ht="12.75">
      <c r="A408" s="22"/>
      <c r="B408" s="22"/>
      <c r="C408" s="22"/>
      <c r="D408" s="22"/>
      <c r="E408" s="22"/>
      <c r="F408" s="22"/>
      <c r="G408" s="22"/>
      <c r="H408" s="22"/>
      <c r="I408" s="527"/>
      <c r="J408" s="676"/>
    </row>
    <row r="409" spans="1:10" ht="12.75">
      <c r="A409" s="22"/>
      <c r="B409" s="22"/>
      <c r="C409" s="22"/>
      <c r="D409" s="22"/>
      <c r="E409" s="22"/>
      <c r="F409" s="22"/>
      <c r="G409" s="22"/>
      <c r="H409" s="22"/>
      <c r="I409" s="527"/>
      <c r="J409" s="676"/>
    </row>
    <row r="410" spans="1:10" ht="12.75">
      <c r="A410" s="22"/>
      <c r="B410" s="22"/>
      <c r="C410" s="22"/>
      <c r="D410" s="22"/>
      <c r="E410" s="22"/>
      <c r="F410" s="22"/>
      <c r="G410" s="22"/>
      <c r="H410" s="22"/>
      <c r="I410" s="527"/>
      <c r="J410" s="676"/>
    </row>
    <row r="411" spans="1:10" ht="12.75">
      <c r="A411" s="22"/>
      <c r="B411" s="22"/>
      <c r="C411" s="22"/>
      <c r="D411" s="22"/>
      <c r="E411" s="22"/>
      <c r="F411" s="22"/>
      <c r="G411" s="22"/>
      <c r="H411" s="22"/>
      <c r="I411" s="527"/>
      <c r="J411" s="676"/>
    </row>
    <row r="412" spans="1:10" ht="12.75">
      <c r="A412" s="22"/>
      <c r="B412" s="22"/>
      <c r="C412" s="22"/>
      <c r="D412" s="22"/>
      <c r="E412" s="22"/>
      <c r="F412" s="22"/>
      <c r="G412" s="22"/>
      <c r="H412" s="22"/>
      <c r="I412" s="527"/>
      <c r="J412" s="676"/>
    </row>
    <row r="413" spans="1:10" ht="12.75">
      <c r="A413" s="22"/>
      <c r="B413" s="22"/>
      <c r="C413" s="22"/>
      <c r="D413" s="22"/>
      <c r="E413" s="22"/>
      <c r="F413" s="22"/>
      <c r="G413" s="22"/>
      <c r="H413" s="22"/>
      <c r="I413" s="527"/>
      <c r="J413" s="676"/>
    </row>
    <row r="414" spans="1:10" ht="12.75">
      <c r="A414" s="22"/>
      <c r="B414" s="22"/>
      <c r="C414" s="22"/>
      <c r="D414" s="22"/>
      <c r="E414" s="22"/>
      <c r="F414" s="22"/>
      <c r="G414" s="22"/>
      <c r="H414" s="22"/>
      <c r="I414" s="527"/>
      <c r="J414" s="676"/>
    </row>
    <row r="415" spans="1:10" ht="12.75">
      <c r="A415" s="22"/>
      <c r="B415" s="22"/>
      <c r="C415" s="22"/>
      <c r="D415" s="22"/>
      <c r="E415" s="22"/>
      <c r="F415" s="22"/>
      <c r="G415" s="22"/>
      <c r="H415" s="22"/>
      <c r="I415" s="527"/>
      <c r="J415" s="676"/>
    </row>
    <row r="416" spans="1:10" ht="12.75">
      <c r="A416" s="22"/>
      <c r="B416" s="22"/>
      <c r="C416" s="22"/>
      <c r="D416" s="22"/>
      <c r="E416" s="22"/>
      <c r="F416" s="22"/>
      <c r="G416" s="22"/>
      <c r="H416" s="22"/>
      <c r="I416" s="527"/>
      <c r="J416" s="676"/>
    </row>
    <row r="417" spans="1:10" ht="12.75">
      <c r="A417" s="22"/>
      <c r="B417" s="22"/>
      <c r="C417" s="22"/>
      <c r="D417" s="22"/>
      <c r="E417" s="22"/>
      <c r="F417" s="22"/>
      <c r="G417" s="22"/>
      <c r="H417" s="22"/>
      <c r="I417" s="527"/>
      <c r="J417" s="676"/>
    </row>
    <row r="418" spans="1:10" ht="12.75">
      <c r="A418" s="22"/>
      <c r="B418" s="22"/>
      <c r="C418" s="22"/>
      <c r="D418" s="22"/>
      <c r="E418" s="22"/>
      <c r="F418" s="22"/>
      <c r="G418" s="22"/>
      <c r="H418" s="22"/>
      <c r="I418" s="527"/>
      <c r="J418" s="676"/>
    </row>
    <row r="419" spans="1:10" ht="12.75">
      <c r="A419" s="22"/>
      <c r="B419" s="22"/>
      <c r="C419" s="22"/>
      <c r="D419" s="22"/>
      <c r="E419" s="22"/>
      <c r="F419" s="22"/>
      <c r="G419" s="22"/>
      <c r="H419" s="22"/>
      <c r="I419" s="527"/>
      <c r="J419" s="676"/>
    </row>
    <row r="420" spans="1:10" ht="12.75">
      <c r="A420" s="22"/>
      <c r="B420" s="22"/>
      <c r="C420" s="22"/>
      <c r="D420" s="22"/>
      <c r="E420" s="22"/>
      <c r="F420" s="22"/>
      <c r="G420" s="22"/>
      <c r="H420" s="22"/>
      <c r="I420" s="527"/>
      <c r="J420" s="676"/>
    </row>
    <row r="421" spans="1:10" ht="12.75">
      <c r="A421" s="22"/>
      <c r="B421" s="22"/>
      <c r="C421" s="22"/>
      <c r="D421" s="22"/>
      <c r="E421" s="22"/>
      <c r="F421" s="22"/>
      <c r="G421" s="22"/>
      <c r="H421" s="22"/>
      <c r="I421" s="527"/>
      <c r="J421" s="676"/>
    </row>
    <row r="422" spans="1:10" ht="12.75">
      <c r="A422" s="22"/>
      <c r="B422" s="22"/>
      <c r="C422" s="22"/>
      <c r="D422" s="22"/>
      <c r="E422" s="22"/>
      <c r="F422" s="22"/>
      <c r="G422" s="22"/>
      <c r="H422" s="22"/>
      <c r="I422" s="527"/>
      <c r="J422" s="676"/>
    </row>
    <row r="423" spans="1:10" ht="12.75">
      <c r="A423" s="22"/>
      <c r="B423" s="22"/>
      <c r="C423" s="22"/>
      <c r="D423" s="22"/>
      <c r="E423" s="22"/>
      <c r="F423" s="22"/>
      <c r="G423" s="22"/>
      <c r="H423" s="22"/>
      <c r="I423" s="527"/>
      <c r="J423" s="676"/>
    </row>
    <row r="424" spans="1:10" ht="12.75">
      <c r="A424" s="22"/>
      <c r="B424" s="22"/>
      <c r="C424" s="22"/>
      <c r="D424" s="22"/>
      <c r="E424" s="22"/>
      <c r="F424" s="22"/>
      <c r="G424" s="22"/>
      <c r="H424" s="22"/>
      <c r="I424" s="527"/>
      <c r="J424" s="676"/>
    </row>
    <row r="425" spans="1:10" ht="12.75">
      <c r="A425" s="22"/>
      <c r="B425" s="22"/>
      <c r="C425" s="22"/>
      <c r="D425" s="22"/>
      <c r="E425" s="22"/>
      <c r="F425" s="22"/>
      <c r="G425" s="22"/>
      <c r="H425" s="22"/>
      <c r="I425" s="527"/>
      <c r="J425" s="676"/>
    </row>
    <row r="426" spans="1:10" ht="12.75">
      <c r="A426" s="22"/>
      <c r="B426" s="22"/>
      <c r="C426" s="22"/>
      <c r="D426" s="22"/>
      <c r="E426" s="22"/>
      <c r="F426" s="22"/>
      <c r="G426" s="22"/>
      <c r="H426" s="22"/>
      <c r="I426" s="527"/>
      <c r="J426" s="676"/>
    </row>
    <row r="427" spans="1:10" ht="12.75">
      <c r="A427" s="22"/>
      <c r="B427" s="22"/>
      <c r="C427" s="22"/>
      <c r="D427" s="22"/>
      <c r="E427" s="22"/>
      <c r="F427" s="22"/>
      <c r="G427" s="22"/>
      <c r="H427" s="22"/>
      <c r="I427" s="527"/>
      <c r="J427" s="676"/>
    </row>
    <row r="428" spans="1:10" ht="12.75">
      <c r="A428" s="22"/>
      <c r="B428" s="22"/>
      <c r="C428" s="22"/>
      <c r="D428" s="22"/>
      <c r="E428" s="22"/>
      <c r="F428" s="22"/>
      <c r="G428" s="22"/>
      <c r="H428" s="22"/>
      <c r="I428" s="527"/>
      <c r="J428" s="676"/>
    </row>
    <row r="429" spans="1:10" ht="12.75">
      <c r="A429" s="22"/>
      <c r="B429" s="22"/>
      <c r="C429" s="22"/>
      <c r="D429" s="22"/>
      <c r="E429" s="22"/>
      <c r="F429" s="22"/>
      <c r="G429" s="22"/>
      <c r="H429" s="22"/>
      <c r="I429" s="527"/>
      <c r="J429" s="676"/>
    </row>
    <row r="430" spans="1:10" ht="12.75">
      <c r="A430" s="22"/>
      <c r="B430" s="22"/>
      <c r="C430" s="22"/>
      <c r="D430" s="22"/>
      <c r="E430" s="22"/>
      <c r="F430" s="22"/>
      <c r="G430" s="22"/>
      <c r="H430" s="22"/>
      <c r="I430" s="527"/>
      <c r="J430" s="676"/>
    </row>
    <row r="431" spans="1:10" ht="12.75">
      <c r="A431" s="22"/>
      <c r="B431" s="22"/>
      <c r="C431" s="22"/>
      <c r="D431" s="22"/>
      <c r="E431" s="22"/>
      <c r="F431" s="22"/>
      <c r="G431" s="22"/>
      <c r="H431" s="22"/>
      <c r="I431" s="527"/>
      <c r="J431" s="676"/>
    </row>
    <row r="432" spans="1:10" ht="12.75">
      <c r="A432" s="22"/>
      <c r="B432" s="22"/>
      <c r="C432" s="22"/>
      <c r="D432" s="22"/>
      <c r="E432" s="22"/>
      <c r="F432" s="22"/>
      <c r="G432" s="22"/>
      <c r="H432" s="22"/>
      <c r="I432" s="527"/>
      <c r="J432" s="676"/>
    </row>
    <row r="433" spans="1:10" ht="12.75">
      <c r="A433" s="22"/>
      <c r="B433" s="22"/>
      <c r="C433" s="22"/>
      <c r="D433" s="22"/>
      <c r="E433" s="22"/>
      <c r="F433" s="22"/>
      <c r="G433" s="22"/>
      <c r="H433" s="22"/>
      <c r="I433" s="527"/>
      <c r="J433" s="676"/>
    </row>
    <row r="434" spans="1:10" ht="12.75">
      <c r="A434" s="22"/>
      <c r="B434" s="22"/>
      <c r="C434" s="22"/>
      <c r="D434" s="22"/>
      <c r="E434" s="22"/>
      <c r="F434" s="22"/>
      <c r="G434" s="22"/>
      <c r="H434" s="22"/>
      <c r="I434" s="527"/>
      <c r="J434" s="676"/>
    </row>
    <row r="435" spans="1:10" ht="12.75">
      <c r="A435" s="22"/>
      <c r="B435" s="22"/>
      <c r="C435" s="22"/>
      <c r="D435" s="22"/>
      <c r="E435" s="22"/>
      <c r="F435" s="22"/>
      <c r="G435" s="22"/>
      <c r="H435" s="22"/>
      <c r="I435" s="527"/>
      <c r="J435" s="676"/>
    </row>
    <row r="436" spans="1:10" ht="12.75">
      <c r="A436" s="22"/>
      <c r="B436" s="22"/>
      <c r="C436" s="22"/>
      <c r="D436" s="22"/>
      <c r="E436" s="22"/>
      <c r="F436" s="22"/>
      <c r="G436" s="22"/>
      <c r="H436" s="22"/>
      <c r="I436" s="527"/>
      <c r="J436" s="676"/>
    </row>
    <row r="437" spans="1:10" ht="12.75">
      <c r="A437" s="22"/>
      <c r="B437" s="22"/>
      <c r="C437" s="22"/>
      <c r="D437" s="22"/>
      <c r="E437" s="22"/>
      <c r="F437" s="22"/>
      <c r="G437" s="22"/>
      <c r="H437" s="22"/>
      <c r="I437" s="527"/>
      <c r="J437" s="676"/>
    </row>
    <row r="438" spans="1:10" ht="12.75">
      <c r="A438" s="22"/>
      <c r="B438" s="22"/>
      <c r="C438" s="22"/>
      <c r="D438" s="22"/>
      <c r="E438" s="22"/>
      <c r="F438" s="22"/>
      <c r="G438" s="22"/>
      <c r="H438" s="22"/>
      <c r="I438" s="527"/>
      <c r="J438" s="676"/>
    </row>
    <row r="439" spans="1:10" ht="12.75">
      <c r="A439" s="22"/>
      <c r="B439" s="22"/>
      <c r="C439" s="22"/>
      <c r="D439" s="22"/>
      <c r="E439" s="22"/>
      <c r="F439" s="22"/>
      <c r="G439" s="22"/>
      <c r="H439" s="22"/>
      <c r="I439" s="527"/>
      <c r="J439" s="676"/>
    </row>
    <row r="440" spans="1:10" ht="12.75">
      <c r="A440" s="22"/>
      <c r="B440" s="22"/>
      <c r="C440" s="22"/>
      <c r="D440" s="22"/>
      <c r="E440" s="22"/>
      <c r="F440" s="22"/>
      <c r="G440" s="22"/>
      <c r="H440" s="22"/>
      <c r="I440" s="527"/>
      <c r="J440" s="676"/>
    </row>
    <row r="441" spans="1:10" ht="12.75">
      <c r="A441" s="22"/>
      <c r="B441" s="22"/>
      <c r="C441" s="22"/>
      <c r="D441" s="22"/>
      <c r="E441" s="22"/>
      <c r="F441" s="22"/>
      <c r="G441" s="22"/>
      <c r="H441" s="22"/>
      <c r="I441" s="527"/>
      <c r="J441" s="676"/>
    </row>
    <row r="442" spans="1:10" ht="12.75">
      <c r="A442" s="22"/>
      <c r="B442" s="22"/>
      <c r="C442" s="22"/>
      <c r="D442" s="22"/>
      <c r="E442" s="22"/>
      <c r="F442" s="22"/>
      <c r="G442" s="22"/>
      <c r="H442" s="22"/>
      <c r="I442" s="527"/>
      <c r="J442" s="676"/>
    </row>
    <row r="443" spans="1:10" ht="12.75">
      <c r="A443" s="22"/>
      <c r="B443" s="22"/>
      <c r="C443" s="22"/>
      <c r="D443" s="22"/>
      <c r="E443" s="22"/>
      <c r="F443" s="22"/>
      <c r="G443" s="22"/>
      <c r="H443" s="22"/>
      <c r="I443" s="527"/>
      <c r="J443" s="676"/>
    </row>
    <row r="444" spans="1:10" ht="12.75">
      <c r="A444" s="22"/>
      <c r="B444" s="22"/>
      <c r="C444" s="22"/>
      <c r="D444" s="22"/>
      <c r="E444" s="22"/>
      <c r="F444" s="22"/>
      <c r="G444" s="22"/>
      <c r="H444" s="22"/>
      <c r="I444" s="527"/>
      <c r="J444" s="676"/>
    </row>
    <row r="445" spans="1:10" ht="12.75">
      <c r="A445" s="22"/>
      <c r="B445" s="22"/>
      <c r="C445" s="22"/>
      <c r="D445" s="22"/>
      <c r="E445" s="22"/>
      <c r="F445" s="22"/>
      <c r="G445" s="22"/>
      <c r="H445" s="22"/>
      <c r="I445" s="527"/>
      <c r="J445" s="676"/>
    </row>
    <row r="446" spans="1:10" ht="12.75">
      <c r="A446" s="22"/>
      <c r="B446" s="22"/>
      <c r="C446" s="22"/>
      <c r="D446" s="22"/>
      <c r="E446" s="22"/>
      <c r="F446" s="22"/>
      <c r="G446" s="22"/>
      <c r="H446" s="22"/>
      <c r="I446" s="527"/>
      <c r="J446" s="676"/>
    </row>
    <row r="447" spans="1:10" ht="12.75">
      <c r="A447" s="22"/>
      <c r="B447" s="22"/>
      <c r="C447" s="22"/>
      <c r="D447" s="22"/>
      <c r="E447" s="22"/>
      <c r="F447" s="22"/>
      <c r="G447" s="22"/>
      <c r="H447" s="22"/>
      <c r="I447" s="527"/>
      <c r="J447" s="676"/>
    </row>
    <row r="448" spans="1:10" ht="12.75">
      <c r="A448" s="22"/>
      <c r="B448" s="22"/>
      <c r="C448" s="22"/>
      <c r="D448" s="22"/>
      <c r="E448" s="22"/>
      <c r="F448" s="22"/>
      <c r="G448" s="22"/>
      <c r="H448" s="22"/>
      <c r="I448" s="527"/>
      <c r="J448" s="676"/>
    </row>
    <row r="449" spans="1:10" ht="12.75">
      <c r="A449" s="22"/>
      <c r="B449" s="22"/>
      <c r="C449" s="22"/>
      <c r="D449" s="22"/>
      <c r="E449" s="22"/>
      <c r="F449" s="22"/>
      <c r="G449" s="22"/>
      <c r="H449" s="22"/>
      <c r="I449" s="527"/>
      <c r="J449" s="676"/>
    </row>
    <row r="450" spans="1:10" ht="12.75">
      <c r="A450" s="22"/>
      <c r="B450" s="22"/>
      <c r="C450" s="22"/>
      <c r="D450" s="22"/>
      <c r="E450" s="22"/>
      <c r="F450" s="22"/>
      <c r="G450" s="22"/>
      <c r="H450" s="22"/>
      <c r="I450" s="527"/>
      <c r="J450" s="676"/>
    </row>
    <row r="451" spans="1:10" ht="12.75">
      <c r="A451" s="22"/>
      <c r="B451" s="22"/>
      <c r="C451" s="22"/>
      <c r="D451" s="22"/>
      <c r="E451" s="22"/>
      <c r="F451" s="22"/>
      <c r="G451" s="22"/>
      <c r="H451" s="22"/>
      <c r="I451" s="527"/>
      <c r="J451" s="676"/>
    </row>
    <row r="452" spans="1:10" ht="12.75">
      <c r="A452" s="22"/>
      <c r="B452" s="22"/>
      <c r="C452" s="22"/>
      <c r="D452" s="22"/>
      <c r="E452" s="22"/>
      <c r="F452" s="22"/>
      <c r="G452" s="22"/>
      <c r="H452" s="22"/>
      <c r="I452" s="527"/>
      <c r="J452" s="676"/>
    </row>
    <row r="453" spans="1:10" ht="12.75">
      <c r="A453" s="22"/>
      <c r="B453" s="22"/>
      <c r="C453" s="22"/>
      <c r="D453" s="22"/>
      <c r="E453" s="22"/>
      <c r="F453" s="22"/>
      <c r="G453" s="22"/>
      <c r="H453" s="22"/>
      <c r="I453" s="527"/>
      <c r="J453" s="676"/>
    </row>
    <row r="454" spans="1:10" ht="12.75">
      <c r="A454" s="22"/>
      <c r="B454" s="22"/>
      <c r="C454" s="22"/>
      <c r="D454" s="22"/>
      <c r="E454" s="22"/>
      <c r="F454" s="22"/>
      <c r="G454" s="22"/>
      <c r="H454" s="22"/>
      <c r="I454" s="527"/>
      <c r="J454" s="676"/>
    </row>
    <row r="455" spans="1:10" ht="12.75">
      <c r="A455" s="22"/>
      <c r="B455" s="22"/>
      <c r="C455" s="22"/>
      <c r="D455" s="22"/>
      <c r="E455" s="22"/>
      <c r="F455" s="22"/>
      <c r="G455" s="22"/>
      <c r="H455" s="22"/>
      <c r="I455" s="527"/>
      <c r="J455" s="676"/>
    </row>
    <row r="456" spans="1:10" ht="12.75">
      <c r="A456" s="22"/>
      <c r="B456" s="22"/>
      <c r="C456" s="22"/>
      <c r="D456" s="22"/>
      <c r="E456" s="22"/>
      <c r="F456" s="22"/>
      <c r="G456" s="22"/>
      <c r="H456" s="22"/>
      <c r="I456" s="527"/>
      <c r="J456" s="676"/>
    </row>
    <row r="457" spans="1:10" ht="12.75">
      <c r="A457" s="22"/>
      <c r="B457" s="22"/>
      <c r="C457" s="22"/>
      <c r="D457" s="22"/>
      <c r="E457" s="22"/>
      <c r="F457" s="22"/>
      <c r="G457" s="22"/>
      <c r="H457" s="22"/>
      <c r="I457" s="527"/>
      <c r="J457" s="676"/>
    </row>
    <row r="458" spans="1:10" ht="12.75">
      <c r="A458" s="22"/>
      <c r="B458" s="22"/>
      <c r="C458" s="22"/>
      <c r="D458" s="22"/>
      <c r="E458" s="22"/>
      <c r="F458" s="22"/>
      <c r="G458" s="22"/>
      <c r="H458" s="22"/>
      <c r="I458" s="527"/>
      <c r="J458" s="676"/>
    </row>
    <row r="459" spans="1:10" ht="12.75">
      <c r="A459" s="22"/>
      <c r="B459" s="22"/>
      <c r="C459" s="22"/>
      <c r="D459" s="22"/>
      <c r="E459" s="22"/>
      <c r="F459" s="22"/>
      <c r="G459" s="22"/>
      <c r="H459" s="22"/>
      <c r="I459" s="527"/>
      <c r="J459" s="676"/>
    </row>
    <row r="460" spans="1:10" ht="12.75">
      <c r="A460" s="22"/>
      <c r="B460" s="22"/>
      <c r="C460" s="22"/>
      <c r="D460" s="22"/>
      <c r="E460" s="22"/>
      <c r="F460" s="22"/>
      <c r="G460" s="22"/>
      <c r="H460" s="22"/>
      <c r="I460" s="527"/>
      <c r="J460" s="676"/>
    </row>
    <row r="461" spans="1:10" ht="12.75">
      <c r="A461" s="22"/>
      <c r="B461" s="22"/>
      <c r="C461" s="22"/>
      <c r="D461" s="22"/>
      <c r="E461" s="22"/>
      <c r="F461" s="22"/>
      <c r="G461" s="22"/>
      <c r="H461" s="22"/>
      <c r="I461" s="527"/>
      <c r="J461" s="676"/>
    </row>
    <row r="462" spans="1:10" ht="12.75">
      <c r="A462" s="22"/>
      <c r="B462" s="22"/>
      <c r="C462" s="22"/>
      <c r="D462" s="22"/>
      <c r="E462" s="22"/>
      <c r="F462" s="22"/>
      <c r="G462" s="22"/>
      <c r="H462" s="22"/>
      <c r="I462" s="527"/>
      <c r="J462" s="676"/>
    </row>
    <row r="463" spans="1:10" ht="12.75">
      <c r="A463" s="22"/>
      <c r="B463" s="22"/>
      <c r="C463" s="22"/>
      <c r="D463" s="22"/>
      <c r="E463" s="22"/>
      <c r="F463" s="22"/>
      <c r="G463" s="22"/>
      <c r="H463" s="22"/>
      <c r="I463" s="527"/>
      <c r="J463" s="676"/>
    </row>
    <row r="464" spans="1:10" ht="12.75">
      <c r="A464" s="22"/>
      <c r="B464" s="22"/>
      <c r="C464" s="22"/>
      <c r="D464" s="22"/>
      <c r="E464" s="22"/>
      <c r="F464" s="22"/>
      <c r="G464" s="22"/>
      <c r="H464" s="22"/>
      <c r="I464" s="527"/>
      <c r="J464" s="676"/>
    </row>
    <row r="465" spans="1:10" ht="12.75">
      <c r="A465" s="22"/>
      <c r="B465" s="22"/>
      <c r="C465" s="22"/>
      <c r="D465" s="22"/>
      <c r="E465" s="22"/>
      <c r="F465" s="22"/>
      <c r="G465" s="22"/>
      <c r="H465" s="22"/>
      <c r="I465" s="527"/>
      <c r="J465" s="676"/>
    </row>
    <row r="466" spans="1:10" ht="12.75">
      <c r="A466" s="22"/>
      <c r="B466" s="22"/>
      <c r="C466" s="22"/>
      <c r="D466" s="22"/>
      <c r="E466" s="22"/>
      <c r="F466" s="22"/>
      <c r="G466" s="22"/>
      <c r="H466" s="22"/>
      <c r="I466" s="527"/>
      <c r="J466" s="676"/>
    </row>
    <row r="467" spans="1:10" ht="12.75">
      <c r="A467" s="22"/>
      <c r="B467" s="22"/>
      <c r="C467" s="22"/>
      <c r="D467" s="22"/>
      <c r="E467" s="22"/>
      <c r="F467" s="22"/>
      <c r="G467" s="22"/>
      <c r="H467" s="22"/>
      <c r="I467" s="527"/>
      <c r="J467" s="676"/>
    </row>
    <row r="468" spans="1:10" ht="12.75">
      <c r="A468" s="22"/>
      <c r="B468" s="22"/>
      <c r="C468" s="22"/>
      <c r="D468" s="22"/>
      <c r="E468" s="22"/>
      <c r="F468" s="22"/>
      <c r="G468" s="22"/>
      <c r="H468" s="22"/>
      <c r="I468" s="527"/>
      <c r="J468" s="676"/>
    </row>
    <row r="469" spans="1:10" ht="12.75">
      <c r="A469" s="22"/>
      <c r="B469" s="22"/>
      <c r="C469" s="22"/>
      <c r="D469" s="22"/>
      <c r="E469" s="22"/>
      <c r="F469" s="22"/>
      <c r="G469" s="22"/>
      <c r="H469" s="22"/>
      <c r="I469" s="527"/>
      <c r="J469" s="676"/>
    </row>
    <row r="470" spans="1:10" ht="12.75">
      <c r="A470" s="22"/>
      <c r="B470" s="22"/>
      <c r="C470" s="22"/>
      <c r="D470" s="22"/>
      <c r="E470" s="22"/>
      <c r="F470" s="22"/>
      <c r="G470" s="22"/>
      <c r="H470" s="22"/>
      <c r="I470" s="527"/>
      <c r="J470" s="676"/>
    </row>
    <row r="471" spans="1:10" ht="12.75">
      <c r="A471" s="22"/>
      <c r="B471" s="22"/>
      <c r="C471" s="22"/>
      <c r="D471" s="22"/>
      <c r="E471" s="22"/>
      <c r="F471" s="22"/>
      <c r="G471" s="22"/>
      <c r="H471" s="22"/>
      <c r="I471" s="527"/>
      <c r="J471" s="676"/>
    </row>
    <row r="472" spans="1:10" ht="12.75">
      <c r="A472" s="22"/>
      <c r="B472" s="22"/>
      <c r="C472" s="22"/>
      <c r="D472" s="22"/>
      <c r="E472" s="22"/>
      <c r="F472" s="22"/>
      <c r="G472" s="22"/>
      <c r="H472" s="22"/>
      <c r="I472" s="527"/>
      <c r="J472" s="676"/>
    </row>
    <row r="473" spans="1:10" ht="12.75">
      <c r="A473" s="22"/>
      <c r="B473" s="22"/>
      <c r="C473" s="22"/>
      <c r="D473" s="22"/>
      <c r="E473" s="22"/>
      <c r="F473" s="22"/>
      <c r="G473" s="22"/>
      <c r="H473" s="22"/>
      <c r="I473" s="527"/>
      <c r="J473" s="676"/>
    </row>
    <row r="474" spans="1:10" ht="12.75">
      <c r="A474" s="22"/>
      <c r="B474" s="22"/>
      <c r="C474" s="22"/>
      <c r="D474" s="22"/>
      <c r="E474" s="22"/>
      <c r="F474" s="22"/>
      <c r="G474" s="22"/>
      <c r="H474" s="22"/>
      <c r="I474" s="527"/>
      <c r="J474" s="676"/>
    </row>
    <row r="475" spans="1:10" ht="12.75">
      <c r="A475" s="22"/>
      <c r="B475" s="22"/>
      <c r="C475" s="22"/>
      <c r="D475" s="22"/>
      <c r="E475" s="22"/>
      <c r="F475" s="22"/>
      <c r="G475" s="22"/>
      <c r="H475" s="22"/>
      <c r="I475" s="527"/>
      <c r="J475" s="676"/>
    </row>
    <row r="476" spans="1:10" ht="12.75">
      <c r="A476" s="22"/>
      <c r="B476" s="22"/>
      <c r="C476" s="22"/>
      <c r="D476" s="22"/>
      <c r="E476" s="22"/>
      <c r="F476" s="22"/>
      <c r="G476" s="22"/>
      <c r="H476" s="22"/>
      <c r="I476" s="527"/>
      <c r="J476" s="676"/>
    </row>
    <row r="477" spans="1:10" ht="12.75">
      <c r="A477" s="22"/>
      <c r="B477" s="22"/>
      <c r="C477" s="22"/>
      <c r="D477" s="22"/>
      <c r="E477" s="22"/>
      <c r="F477" s="22"/>
      <c r="G477" s="22"/>
      <c r="H477" s="22"/>
      <c r="I477" s="527"/>
      <c r="J477" s="676"/>
    </row>
    <row r="478" spans="1:10" ht="12.75">
      <c r="A478" s="22"/>
      <c r="B478" s="22"/>
      <c r="C478" s="22"/>
      <c r="D478" s="22"/>
      <c r="E478" s="22"/>
      <c r="F478" s="22"/>
      <c r="G478" s="22"/>
      <c r="H478" s="22"/>
      <c r="I478" s="527"/>
      <c r="J478" s="676"/>
    </row>
    <row r="479" spans="1:10" ht="12.75">
      <c r="A479" s="22"/>
      <c r="B479" s="22"/>
      <c r="C479" s="22"/>
      <c r="D479" s="22"/>
      <c r="E479" s="22"/>
      <c r="F479" s="22"/>
      <c r="G479" s="22"/>
      <c r="H479" s="22"/>
      <c r="I479" s="527"/>
      <c r="J479" s="676"/>
    </row>
    <row r="480" spans="1:10" ht="12.75">
      <c r="A480" s="22"/>
      <c r="B480" s="22"/>
      <c r="C480" s="22"/>
      <c r="D480" s="22"/>
      <c r="E480" s="22"/>
      <c r="F480" s="22"/>
      <c r="G480" s="22"/>
      <c r="H480" s="22"/>
      <c r="I480" s="527"/>
      <c r="J480" s="676"/>
    </row>
    <row r="481" spans="1:10" ht="12.75">
      <c r="A481" s="22"/>
      <c r="B481" s="22"/>
      <c r="C481" s="22"/>
      <c r="D481" s="22"/>
      <c r="E481" s="22"/>
      <c r="F481" s="22"/>
      <c r="G481" s="22"/>
      <c r="H481" s="22"/>
      <c r="I481" s="527"/>
      <c r="J481" s="676"/>
    </row>
    <row r="482" spans="1:10" ht="12.75">
      <c r="A482" s="22"/>
      <c r="B482" s="22"/>
      <c r="C482" s="22"/>
      <c r="D482" s="22"/>
      <c r="E482" s="22"/>
      <c r="F482" s="22"/>
      <c r="G482" s="22"/>
      <c r="H482" s="22"/>
      <c r="I482" s="527"/>
      <c r="J482" s="676"/>
    </row>
    <row r="483" spans="1:10" ht="12.75">
      <c r="A483" s="22"/>
      <c r="B483" s="22"/>
      <c r="C483" s="22"/>
      <c r="D483" s="22"/>
      <c r="E483" s="22"/>
      <c r="F483" s="22"/>
      <c r="G483" s="22"/>
      <c r="H483" s="22"/>
      <c r="I483" s="527"/>
      <c r="J483" s="676"/>
    </row>
    <row r="484" spans="1:10" ht="12.75">
      <c r="A484" s="22"/>
      <c r="B484" s="22"/>
      <c r="C484" s="22"/>
      <c r="D484" s="22"/>
      <c r="E484" s="22"/>
      <c r="F484" s="22"/>
      <c r="G484" s="22"/>
      <c r="H484" s="22"/>
      <c r="I484" s="527"/>
      <c r="J484" s="676"/>
    </row>
    <row r="485" spans="1:10" ht="12.75">
      <c r="A485" s="22"/>
      <c r="B485" s="22"/>
      <c r="C485" s="22"/>
      <c r="D485" s="22"/>
      <c r="E485" s="22"/>
      <c r="F485" s="22"/>
      <c r="G485" s="22"/>
      <c r="H485" s="22"/>
      <c r="I485" s="527"/>
      <c r="J485" s="676"/>
    </row>
    <row r="486" spans="1:10" ht="12.75">
      <c r="A486" s="22"/>
      <c r="B486" s="22"/>
      <c r="C486" s="22"/>
      <c r="D486" s="22"/>
      <c r="E486" s="22"/>
      <c r="F486" s="22"/>
      <c r="G486" s="22"/>
      <c r="H486" s="22"/>
      <c r="I486" s="527"/>
      <c r="J486" s="676"/>
    </row>
    <row r="487" spans="1:10" ht="12.75">
      <c r="A487" s="22"/>
      <c r="B487" s="22"/>
      <c r="C487" s="22"/>
      <c r="D487" s="22"/>
      <c r="E487" s="22"/>
      <c r="F487" s="22"/>
      <c r="G487" s="22"/>
      <c r="H487" s="22"/>
      <c r="I487" s="527"/>
      <c r="J487" s="676"/>
    </row>
    <row r="488" spans="1:10" ht="12.75">
      <c r="A488" s="22"/>
      <c r="B488" s="22"/>
      <c r="C488" s="22"/>
      <c r="D488" s="22"/>
      <c r="E488" s="22"/>
      <c r="F488" s="22"/>
      <c r="G488" s="22"/>
      <c r="H488" s="22"/>
      <c r="I488" s="527"/>
      <c r="J488" s="676"/>
    </row>
    <row r="489" spans="1:10" ht="12.75">
      <c r="A489" s="22"/>
      <c r="B489" s="22"/>
      <c r="C489" s="22"/>
      <c r="D489" s="22"/>
      <c r="E489" s="22"/>
      <c r="F489" s="22"/>
      <c r="G489" s="22"/>
      <c r="H489" s="22"/>
      <c r="I489" s="527"/>
      <c r="J489" s="676"/>
    </row>
    <row r="490" spans="1:10" ht="12.75">
      <c r="A490" s="22"/>
      <c r="B490" s="22"/>
      <c r="C490" s="22"/>
      <c r="D490" s="22"/>
      <c r="E490" s="22"/>
      <c r="F490" s="22"/>
      <c r="G490" s="22"/>
      <c r="H490" s="22"/>
      <c r="I490" s="527"/>
      <c r="J490" s="676"/>
    </row>
    <row r="491" spans="1:10" ht="12.75">
      <c r="A491" s="22"/>
      <c r="B491" s="22"/>
      <c r="C491" s="22"/>
      <c r="D491" s="22"/>
      <c r="E491" s="22"/>
      <c r="F491" s="22"/>
      <c r="G491" s="22"/>
      <c r="H491" s="22"/>
      <c r="I491" s="527"/>
      <c r="J491" s="676"/>
    </row>
    <row r="492" spans="1:10" ht="12.75">
      <c r="A492" s="22"/>
      <c r="B492" s="22"/>
      <c r="C492" s="22"/>
      <c r="D492" s="22"/>
      <c r="E492" s="22"/>
      <c r="F492" s="22"/>
      <c r="G492" s="22"/>
      <c r="H492" s="22"/>
      <c r="I492" s="527"/>
      <c r="J492" s="676"/>
    </row>
    <row r="493" spans="1:10" ht="12.75">
      <c r="A493" s="22"/>
      <c r="B493" s="22"/>
      <c r="C493" s="22"/>
      <c r="D493" s="22"/>
      <c r="E493" s="22"/>
      <c r="F493" s="22"/>
      <c r="G493" s="22"/>
      <c r="H493" s="22"/>
      <c r="I493" s="527"/>
      <c r="J493" s="676"/>
    </row>
    <row r="494" spans="1:10" ht="12.75">
      <c r="A494" s="22"/>
      <c r="B494" s="22"/>
      <c r="C494" s="22"/>
      <c r="D494" s="22"/>
      <c r="E494" s="22"/>
      <c r="F494" s="22"/>
      <c r="G494" s="22"/>
      <c r="H494" s="22"/>
      <c r="I494" s="527"/>
      <c r="J494" s="676"/>
    </row>
    <row r="495" spans="1:10" ht="12.75">
      <c r="A495" s="22"/>
      <c r="B495" s="22"/>
      <c r="C495" s="22"/>
      <c r="D495" s="22"/>
      <c r="E495" s="22"/>
      <c r="F495" s="22"/>
      <c r="G495" s="22"/>
      <c r="H495" s="22"/>
      <c r="I495" s="527"/>
      <c r="J495" s="676"/>
    </row>
    <row r="496" spans="1:10" ht="12.75">
      <c r="A496" s="22"/>
      <c r="B496" s="22"/>
      <c r="C496" s="22"/>
      <c r="D496" s="22"/>
      <c r="E496" s="22"/>
      <c r="F496" s="22"/>
      <c r="G496" s="22"/>
      <c r="H496" s="22"/>
      <c r="I496" s="527"/>
      <c r="J496" s="676"/>
    </row>
    <row r="497" spans="1:10" ht="12.75">
      <c r="A497" s="22"/>
      <c r="B497" s="22"/>
      <c r="C497" s="22"/>
      <c r="D497" s="22"/>
      <c r="E497" s="22"/>
      <c r="F497" s="22"/>
      <c r="G497" s="22"/>
      <c r="H497" s="22"/>
      <c r="I497" s="527"/>
      <c r="J497" s="676"/>
    </row>
    <row r="498" spans="1:10" ht="12.75">
      <c r="A498" s="22"/>
      <c r="B498" s="22"/>
      <c r="C498" s="22"/>
      <c r="D498" s="22"/>
      <c r="E498" s="22"/>
      <c r="F498" s="22"/>
      <c r="G498" s="22"/>
      <c r="H498" s="22"/>
      <c r="I498" s="527"/>
      <c r="J498" s="676"/>
    </row>
    <row r="499" spans="1:10" ht="12.75">
      <c r="A499" s="22"/>
      <c r="B499" s="22"/>
      <c r="C499" s="22"/>
      <c r="D499" s="22"/>
      <c r="E499" s="22"/>
      <c r="F499" s="22"/>
      <c r="G499" s="22"/>
      <c r="H499" s="22"/>
      <c r="I499" s="527"/>
      <c r="J499" s="676"/>
    </row>
    <row r="500" spans="1:10" ht="12.75">
      <c r="A500" s="22"/>
      <c r="B500" s="22"/>
      <c r="C500" s="22"/>
      <c r="D500" s="22"/>
      <c r="E500" s="22"/>
      <c r="F500" s="22"/>
      <c r="G500" s="22"/>
      <c r="H500" s="22"/>
      <c r="I500" s="527"/>
      <c r="J500" s="676"/>
    </row>
    <row r="501" spans="1:10" ht="12.75">
      <c r="A501" s="22"/>
      <c r="B501" s="22"/>
      <c r="C501" s="22"/>
      <c r="D501" s="22"/>
      <c r="E501" s="22"/>
      <c r="F501" s="22"/>
      <c r="G501" s="22"/>
      <c r="H501" s="22"/>
      <c r="I501" s="527"/>
      <c r="J501" s="676"/>
    </row>
    <row r="502" spans="1:10" ht="12.75">
      <c r="A502" s="22"/>
      <c r="B502" s="22"/>
      <c r="C502" s="22"/>
      <c r="D502" s="22"/>
      <c r="E502" s="22"/>
      <c r="F502" s="22"/>
      <c r="G502" s="22"/>
      <c r="H502" s="22"/>
      <c r="I502" s="527"/>
      <c r="J502" s="676"/>
    </row>
    <row r="503" spans="1:10" ht="12.75">
      <c r="A503" s="22"/>
      <c r="B503" s="22"/>
      <c r="C503" s="22"/>
      <c r="D503" s="22"/>
      <c r="E503" s="22"/>
      <c r="F503" s="22"/>
      <c r="G503" s="22"/>
      <c r="H503" s="22"/>
      <c r="I503" s="527"/>
      <c r="J503" s="676"/>
    </row>
    <row r="504" spans="1:10" ht="12.75">
      <c r="A504" s="22"/>
      <c r="B504" s="22"/>
      <c r="C504" s="22"/>
      <c r="D504" s="22"/>
      <c r="E504" s="22"/>
      <c r="F504" s="22"/>
      <c r="G504" s="22"/>
      <c r="H504" s="22"/>
      <c r="I504" s="527"/>
      <c r="J504" s="676"/>
    </row>
    <row r="505" spans="1:10" ht="12.75">
      <c r="A505" s="22"/>
      <c r="B505" s="22"/>
      <c r="C505" s="22"/>
      <c r="D505" s="22"/>
      <c r="E505" s="22"/>
      <c r="F505" s="22"/>
      <c r="G505" s="22"/>
      <c r="H505" s="22"/>
      <c r="I505" s="527"/>
      <c r="J505" s="676"/>
    </row>
    <row r="506" spans="1:10" ht="12.75">
      <c r="A506" s="22"/>
      <c r="B506" s="22"/>
      <c r="C506" s="22"/>
      <c r="D506" s="22"/>
      <c r="E506" s="22"/>
      <c r="F506" s="22"/>
      <c r="G506" s="22"/>
      <c r="H506" s="22"/>
      <c r="I506" s="527"/>
      <c r="J506" s="676"/>
    </row>
    <row r="507" spans="1:10" ht="12.75">
      <c r="A507" s="22"/>
      <c r="B507" s="22"/>
      <c r="C507" s="22"/>
      <c r="D507" s="22"/>
      <c r="E507" s="22"/>
      <c r="F507" s="22"/>
      <c r="G507" s="22"/>
      <c r="H507" s="22"/>
      <c r="I507" s="527"/>
      <c r="J507" s="676"/>
    </row>
    <row r="508" spans="1:10" ht="12.75">
      <c r="A508" s="22"/>
      <c r="B508" s="22"/>
      <c r="C508" s="22"/>
      <c r="D508" s="22"/>
      <c r="E508" s="22"/>
      <c r="F508" s="22"/>
      <c r="G508" s="22"/>
      <c r="H508" s="22"/>
      <c r="I508" s="527"/>
      <c r="J508" s="676"/>
    </row>
    <row r="509" spans="1:10" ht="12.75">
      <c r="A509" s="22"/>
      <c r="B509" s="22"/>
      <c r="C509" s="22"/>
      <c r="D509" s="22"/>
      <c r="E509" s="22"/>
      <c r="F509" s="22"/>
      <c r="G509" s="22"/>
      <c r="H509" s="22"/>
      <c r="I509" s="527"/>
      <c r="J509" s="676"/>
    </row>
    <row r="510" spans="1:10" ht="12.75">
      <c r="A510" s="22"/>
      <c r="B510" s="22"/>
      <c r="C510" s="22"/>
      <c r="D510" s="22"/>
      <c r="E510" s="22"/>
      <c r="F510" s="22"/>
      <c r="G510" s="22"/>
      <c r="H510" s="22"/>
      <c r="I510" s="527"/>
      <c r="J510" s="676"/>
    </row>
    <row r="511" spans="1:10" ht="12.75">
      <c r="A511" s="22"/>
      <c r="B511" s="22"/>
      <c r="C511" s="22"/>
      <c r="D511" s="22"/>
      <c r="E511" s="22"/>
      <c r="F511" s="22"/>
      <c r="G511" s="22"/>
      <c r="H511" s="22"/>
      <c r="I511" s="527"/>
      <c r="J511" s="676"/>
    </row>
    <row r="512" spans="1:10" ht="12.75">
      <c r="A512" s="22"/>
      <c r="B512" s="22"/>
      <c r="C512" s="22"/>
      <c r="D512" s="22"/>
      <c r="E512" s="22"/>
      <c r="F512" s="22"/>
      <c r="G512" s="22"/>
      <c r="H512" s="22"/>
      <c r="I512" s="527"/>
      <c r="J512" s="676"/>
    </row>
    <row r="513" spans="1:10" ht="12.75">
      <c r="A513" s="22"/>
      <c r="B513" s="22"/>
      <c r="C513" s="22"/>
      <c r="D513" s="22"/>
      <c r="E513" s="22"/>
      <c r="F513" s="22"/>
      <c r="G513" s="22"/>
      <c r="H513" s="22"/>
      <c r="I513" s="527"/>
      <c r="J513" s="676"/>
    </row>
    <row r="514" spans="1:10" ht="12.75">
      <c r="A514" s="22"/>
      <c r="B514" s="22"/>
      <c r="C514" s="22"/>
      <c r="D514" s="22"/>
      <c r="E514" s="22"/>
      <c r="F514" s="22"/>
      <c r="G514" s="22"/>
      <c r="H514" s="22"/>
      <c r="I514" s="527"/>
      <c r="J514" s="676"/>
    </row>
    <row r="515" spans="1:10" ht="12.75">
      <c r="A515" s="22"/>
      <c r="B515" s="22"/>
      <c r="C515" s="22"/>
      <c r="D515" s="22"/>
      <c r="E515" s="22"/>
      <c r="F515" s="22"/>
      <c r="G515" s="22"/>
      <c r="H515" s="22"/>
      <c r="I515" s="527"/>
      <c r="J515" s="676"/>
    </row>
    <row r="516" spans="1:10" ht="12.75">
      <c r="A516" s="22"/>
      <c r="B516" s="22"/>
      <c r="C516" s="22"/>
      <c r="D516" s="22"/>
      <c r="E516" s="22"/>
      <c r="F516" s="22"/>
      <c r="G516" s="22"/>
      <c r="H516" s="22"/>
      <c r="I516" s="527"/>
      <c r="J516" s="676"/>
    </row>
    <row r="517" spans="1:10" ht="12.75">
      <c r="A517" s="22"/>
      <c r="B517" s="22"/>
      <c r="C517" s="22"/>
      <c r="D517" s="22"/>
      <c r="E517" s="22"/>
      <c r="F517" s="22"/>
      <c r="G517" s="22"/>
      <c r="H517" s="22"/>
      <c r="I517" s="527"/>
      <c r="J517" s="676"/>
    </row>
    <row r="518" spans="1:10" ht="12.75">
      <c r="A518" s="22"/>
      <c r="B518" s="22"/>
      <c r="C518" s="22"/>
      <c r="D518" s="22"/>
      <c r="E518" s="22"/>
      <c r="F518" s="22"/>
      <c r="G518" s="22"/>
      <c r="H518" s="22"/>
      <c r="I518" s="527"/>
      <c r="J518" s="676"/>
    </row>
    <row r="519" spans="1:10" ht="12.75">
      <c r="A519" s="22"/>
      <c r="B519" s="22"/>
      <c r="C519" s="22"/>
      <c r="D519" s="22"/>
      <c r="E519" s="22"/>
      <c r="F519" s="22"/>
      <c r="G519" s="22"/>
      <c r="H519" s="22"/>
      <c r="I519" s="527"/>
      <c r="J519" s="676"/>
    </row>
    <row r="520" spans="1:10" ht="12.75">
      <c r="A520" s="22"/>
      <c r="B520" s="22"/>
      <c r="C520" s="22"/>
      <c r="D520" s="22"/>
      <c r="E520" s="22"/>
      <c r="F520" s="22"/>
      <c r="G520" s="22"/>
      <c r="H520" s="22"/>
      <c r="I520" s="527"/>
      <c r="J520" s="676"/>
    </row>
    <row r="521" spans="1:10" ht="12.75">
      <c r="A521" s="22"/>
      <c r="B521" s="22"/>
      <c r="C521" s="22"/>
      <c r="D521" s="22"/>
      <c r="E521" s="22"/>
      <c r="F521" s="22"/>
      <c r="G521" s="22"/>
      <c r="H521" s="22"/>
      <c r="I521" s="527"/>
      <c r="J521" s="676"/>
    </row>
    <row r="522" spans="1:10" ht="12.75">
      <c r="A522" s="22"/>
      <c r="B522" s="22"/>
      <c r="C522" s="22"/>
      <c r="D522" s="22"/>
      <c r="E522" s="22"/>
      <c r="F522" s="22"/>
      <c r="G522" s="22"/>
      <c r="H522" s="22"/>
      <c r="I522" s="527"/>
      <c r="J522" s="676"/>
    </row>
    <row r="523" spans="1:10" ht="12.75">
      <c r="A523" s="22"/>
      <c r="B523" s="22"/>
      <c r="C523" s="22"/>
      <c r="D523" s="22"/>
      <c r="E523" s="22"/>
      <c r="F523" s="22"/>
      <c r="G523" s="22"/>
      <c r="H523" s="22"/>
      <c r="I523" s="527"/>
      <c r="J523" s="676"/>
    </row>
    <row r="524" spans="1:10" ht="12.75">
      <c r="A524" s="22"/>
      <c r="B524" s="22"/>
      <c r="C524" s="22"/>
      <c r="D524" s="22"/>
      <c r="E524" s="22"/>
      <c r="F524" s="22"/>
      <c r="G524" s="22"/>
      <c r="H524" s="22"/>
      <c r="I524" s="527"/>
      <c r="J524" s="676"/>
    </row>
    <row r="525" spans="1:10" ht="12.75">
      <c r="A525" s="22"/>
      <c r="B525" s="22"/>
      <c r="C525" s="22"/>
      <c r="D525" s="22"/>
      <c r="E525" s="22"/>
      <c r="F525" s="22"/>
      <c r="G525" s="22"/>
      <c r="H525" s="22"/>
      <c r="I525" s="527"/>
      <c r="J525" s="676"/>
    </row>
    <row r="526" spans="1:10" ht="12.75">
      <c r="A526" s="22"/>
      <c r="B526" s="22"/>
      <c r="C526" s="22"/>
      <c r="D526" s="22"/>
      <c r="E526" s="22"/>
      <c r="F526" s="22"/>
      <c r="G526" s="22"/>
      <c r="H526" s="22"/>
      <c r="I526" s="527"/>
      <c r="J526" s="676"/>
    </row>
    <row r="527" spans="1:10" ht="12.75">
      <c r="A527" s="22"/>
      <c r="B527" s="22"/>
      <c r="C527" s="22"/>
      <c r="D527" s="22"/>
      <c r="E527" s="22"/>
      <c r="F527" s="22"/>
      <c r="G527" s="22"/>
      <c r="H527" s="22"/>
      <c r="I527" s="527"/>
      <c r="J527" s="676"/>
    </row>
    <row r="528" spans="1:10" ht="12.75">
      <c r="A528" s="22"/>
      <c r="B528" s="22"/>
      <c r="C528" s="22"/>
      <c r="D528" s="22"/>
      <c r="E528" s="22"/>
      <c r="F528" s="22"/>
      <c r="G528" s="22"/>
      <c r="H528" s="22"/>
      <c r="I528" s="527"/>
      <c r="J528" s="676"/>
    </row>
    <row r="529" spans="1:10" ht="12.75">
      <c r="A529" s="22"/>
      <c r="B529" s="22"/>
      <c r="C529" s="22"/>
      <c r="D529" s="22"/>
      <c r="E529" s="22"/>
      <c r="F529" s="22"/>
      <c r="G529" s="22"/>
      <c r="H529" s="22"/>
      <c r="I529" s="527"/>
      <c r="J529" s="676"/>
    </row>
    <row r="530" spans="1:10" ht="12.75">
      <c r="A530" s="22"/>
      <c r="B530" s="22"/>
      <c r="C530" s="22"/>
      <c r="D530" s="22"/>
      <c r="E530" s="22"/>
      <c r="F530" s="22"/>
      <c r="G530" s="22"/>
      <c r="H530" s="22"/>
      <c r="I530" s="527"/>
      <c r="J530" s="676"/>
    </row>
    <row r="531" spans="1:10" ht="12.75">
      <c r="A531" s="22"/>
      <c r="B531" s="22"/>
      <c r="C531" s="22"/>
      <c r="D531" s="22"/>
      <c r="E531" s="22"/>
      <c r="F531" s="22"/>
      <c r="G531" s="22"/>
      <c r="H531" s="22"/>
      <c r="I531" s="527"/>
      <c r="J531" s="676"/>
    </row>
    <row r="532" spans="1:10" ht="12.75">
      <c r="A532" s="22"/>
      <c r="B532" s="22"/>
      <c r="C532" s="22"/>
      <c r="D532" s="22"/>
      <c r="E532" s="22"/>
      <c r="F532" s="22"/>
      <c r="G532" s="22"/>
      <c r="H532" s="22"/>
      <c r="I532" s="527"/>
      <c r="J532" s="676"/>
    </row>
    <row r="533" spans="1:10" ht="12.75">
      <c r="A533" s="22"/>
      <c r="B533" s="22"/>
      <c r="C533" s="22"/>
      <c r="D533" s="22"/>
      <c r="E533" s="22"/>
      <c r="F533" s="22"/>
      <c r="G533" s="22"/>
      <c r="H533" s="22"/>
      <c r="I533" s="527"/>
      <c r="J533" s="676"/>
    </row>
    <row r="534" spans="1:10" ht="12.75">
      <c r="A534" s="22"/>
      <c r="B534" s="22"/>
      <c r="C534" s="22"/>
      <c r="D534" s="22"/>
      <c r="E534" s="22"/>
      <c r="F534" s="22"/>
      <c r="G534" s="22"/>
      <c r="H534" s="22"/>
      <c r="I534" s="527"/>
      <c r="J534" s="676"/>
    </row>
    <row r="535" spans="1:10" ht="12.75">
      <c r="A535" s="22"/>
      <c r="B535" s="22"/>
      <c r="C535" s="22"/>
      <c r="D535" s="22"/>
      <c r="E535" s="22"/>
      <c r="F535" s="22"/>
      <c r="G535" s="22"/>
      <c r="H535" s="22"/>
      <c r="I535" s="527"/>
      <c r="J535" s="676"/>
    </row>
    <row r="536" spans="1:10" ht="12.75">
      <c r="A536" s="22"/>
      <c r="B536" s="22"/>
      <c r="C536" s="22"/>
      <c r="D536" s="22"/>
      <c r="E536" s="22"/>
      <c r="F536" s="22"/>
      <c r="G536" s="22"/>
      <c r="H536" s="22"/>
      <c r="I536" s="527"/>
      <c r="J536" s="676"/>
    </row>
    <row r="537" spans="1:10" ht="12.75">
      <c r="A537" s="22"/>
      <c r="B537" s="22"/>
      <c r="C537" s="22"/>
      <c r="D537" s="22"/>
      <c r="E537" s="22"/>
      <c r="F537" s="22"/>
      <c r="G537" s="22"/>
      <c r="H537" s="22"/>
      <c r="I537" s="527"/>
      <c r="J537" s="676"/>
    </row>
    <row r="538" spans="1:10" ht="12.75">
      <c r="A538" s="22"/>
      <c r="B538" s="22"/>
      <c r="C538" s="22"/>
      <c r="D538" s="22"/>
      <c r="E538" s="22"/>
      <c r="F538" s="22"/>
      <c r="G538" s="22"/>
      <c r="H538" s="22"/>
      <c r="I538" s="527"/>
      <c r="J538" s="676"/>
    </row>
    <row r="539" spans="1:10" ht="12.75">
      <c r="A539" s="22"/>
      <c r="B539" s="22"/>
      <c r="C539" s="22"/>
      <c r="D539" s="22"/>
      <c r="E539" s="22"/>
      <c r="F539" s="22"/>
      <c r="G539" s="22"/>
      <c r="H539" s="22"/>
      <c r="I539" s="527"/>
      <c r="J539" s="676"/>
    </row>
    <row r="540" spans="1:10" ht="12.75">
      <c r="A540" s="22"/>
      <c r="B540" s="22"/>
      <c r="C540" s="22"/>
      <c r="D540" s="22"/>
      <c r="E540" s="22"/>
      <c r="F540" s="22"/>
      <c r="G540" s="22"/>
      <c r="H540" s="22"/>
      <c r="I540" s="527"/>
      <c r="J540" s="676"/>
    </row>
    <row r="541" spans="1:10" ht="12.75">
      <c r="A541" s="22"/>
      <c r="B541" s="22"/>
      <c r="C541" s="22"/>
      <c r="D541" s="22"/>
      <c r="E541" s="22"/>
      <c r="F541" s="22"/>
      <c r="G541" s="22"/>
      <c r="H541" s="22"/>
      <c r="I541" s="527"/>
      <c r="J541" s="676"/>
    </row>
    <row r="542" spans="1:10" ht="12.75">
      <c r="A542" s="22"/>
      <c r="B542" s="22"/>
      <c r="C542" s="22"/>
      <c r="D542" s="22"/>
      <c r="E542" s="22"/>
      <c r="F542" s="22"/>
      <c r="G542" s="22"/>
      <c r="H542" s="22"/>
      <c r="I542" s="527"/>
      <c r="J542" s="676"/>
    </row>
    <row r="543" spans="1:10" ht="12.75">
      <c r="A543" s="22"/>
      <c r="B543" s="22"/>
      <c r="C543" s="22"/>
      <c r="D543" s="22"/>
      <c r="E543" s="22"/>
      <c r="F543" s="22"/>
      <c r="G543" s="22"/>
      <c r="H543" s="22"/>
      <c r="I543" s="527"/>
      <c r="J543" s="676"/>
    </row>
    <row r="544" spans="1:10" ht="12.75">
      <c r="A544" s="22"/>
      <c r="B544" s="22"/>
      <c r="C544" s="22"/>
      <c r="D544" s="22"/>
      <c r="E544" s="22"/>
      <c r="F544" s="22"/>
      <c r="G544" s="22"/>
      <c r="H544" s="22"/>
      <c r="I544" s="527"/>
      <c r="J544" s="676"/>
    </row>
    <row r="545" spans="1:10" ht="12.75">
      <c r="A545" s="22"/>
      <c r="B545" s="22"/>
      <c r="C545" s="22"/>
      <c r="D545" s="22"/>
      <c r="E545" s="22"/>
      <c r="F545" s="22"/>
      <c r="G545" s="22"/>
      <c r="H545" s="22"/>
      <c r="I545" s="527"/>
      <c r="J545" s="676"/>
    </row>
    <row r="546" spans="1:10" ht="12.75">
      <c r="A546" s="22"/>
      <c r="B546" s="22"/>
      <c r="C546" s="22"/>
      <c r="D546" s="22"/>
      <c r="E546" s="22"/>
      <c r="F546" s="22"/>
      <c r="G546" s="22"/>
      <c r="H546" s="22"/>
      <c r="I546" s="527"/>
      <c r="J546" s="676"/>
    </row>
    <row r="547" spans="1:10" ht="12.75">
      <c r="A547" s="22"/>
      <c r="B547" s="22"/>
      <c r="C547" s="22"/>
      <c r="D547" s="22"/>
      <c r="E547" s="22"/>
      <c r="F547" s="22"/>
      <c r="G547" s="22"/>
      <c r="H547" s="22"/>
      <c r="I547" s="527"/>
      <c r="J547" s="676"/>
    </row>
    <row r="548" spans="1:10" ht="12.75">
      <c r="A548" s="22"/>
      <c r="B548" s="22"/>
      <c r="C548" s="22"/>
      <c r="D548" s="22"/>
      <c r="E548" s="22"/>
      <c r="F548" s="22"/>
      <c r="G548" s="22"/>
      <c r="H548" s="22"/>
      <c r="I548" s="527"/>
      <c r="J548" s="676"/>
    </row>
    <row r="549" spans="1:10" ht="12.75">
      <c r="A549" s="22"/>
      <c r="B549" s="22"/>
      <c r="C549" s="22"/>
      <c r="D549" s="22"/>
      <c r="E549" s="22"/>
      <c r="F549" s="22"/>
      <c r="G549" s="22"/>
      <c r="H549" s="22"/>
      <c r="I549" s="527"/>
      <c r="J549" s="676"/>
    </row>
    <row r="550" spans="1:10" ht="12.75">
      <c r="A550" s="22"/>
      <c r="B550" s="22"/>
      <c r="C550" s="22"/>
      <c r="D550" s="22"/>
      <c r="E550" s="22"/>
      <c r="F550" s="22"/>
      <c r="G550" s="22"/>
      <c r="H550" s="22"/>
      <c r="I550" s="527"/>
      <c r="J550" s="676"/>
    </row>
    <row r="551" spans="1:10" ht="12.75">
      <c r="A551" s="22"/>
      <c r="B551" s="22"/>
      <c r="C551" s="22"/>
      <c r="D551" s="22"/>
      <c r="E551" s="22"/>
      <c r="F551" s="22"/>
      <c r="G551" s="22"/>
      <c r="H551" s="22"/>
      <c r="I551" s="527"/>
      <c r="J551" s="676"/>
    </row>
    <row r="552" spans="1:10" ht="12.75">
      <c r="A552" s="22"/>
      <c r="B552" s="22"/>
      <c r="C552" s="22"/>
      <c r="D552" s="22"/>
      <c r="E552" s="22"/>
      <c r="F552" s="22"/>
      <c r="G552" s="22"/>
      <c r="H552" s="22"/>
      <c r="I552" s="527"/>
      <c r="J552" s="676"/>
    </row>
    <row r="553" spans="1:10" ht="12.75">
      <c r="A553" s="22"/>
      <c r="B553" s="22"/>
      <c r="C553" s="22"/>
      <c r="D553" s="22"/>
      <c r="E553" s="22"/>
      <c r="F553" s="22"/>
      <c r="G553" s="22"/>
      <c r="H553" s="22"/>
      <c r="I553" s="527"/>
      <c r="J553" s="676"/>
    </row>
    <row r="554" spans="1:10" ht="12.75">
      <c r="A554" s="22"/>
      <c r="B554" s="22"/>
      <c r="C554" s="22"/>
      <c r="D554" s="22"/>
      <c r="E554" s="22"/>
      <c r="F554" s="22"/>
      <c r="G554" s="22"/>
      <c r="H554" s="22"/>
      <c r="I554" s="527"/>
      <c r="J554" s="676"/>
    </row>
    <row r="555" spans="1:10" ht="12.75">
      <c r="A555" s="22"/>
      <c r="B555" s="22"/>
      <c r="C555" s="22"/>
      <c r="D555" s="22"/>
      <c r="E555" s="22"/>
      <c r="F555" s="22"/>
      <c r="G555" s="22"/>
      <c r="H555" s="22"/>
      <c r="I555" s="527"/>
      <c r="J555" s="676"/>
    </row>
    <row r="556" spans="1:10" ht="12.75">
      <c r="A556" s="22"/>
      <c r="B556" s="22"/>
      <c r="C556" s="22"/>
      <c r="D556" s="22"/>
      <c r="E556" s="22"/>
      <c r="F556" s="22"/>
      <c r="G556" s="22"/>
      <c r="H556" s="22"/>
      <c r="I556" s="527"/>
      <c r="J556" s="676"/>
    </row>
    <row r="557" spans="1:10" ht="12.75">
      <c r="A557" s="22"/>
      <c r="B557" s="22"/>
      <c r="C557" s="22"/>
      <c r="D557" s="22"/>
      <c r="E557" s="22"/>
      <c r="F557" s="22"/>
      <c r="G557" s="22"/>
      <c r="H557" s="22"/>
      <c r="I557" s="527"/>
      <c r="J557" s="676"/>
    </row>
    <row r="558" spans="1:10" ht="12.75">
      <c r="A558" s="22"/>
      <c r="B558" s="22"/>
      <c r="C558" s="22"/>
      <c r="D558" s="22"/>
      <c r="E558" s="22"/>
      <c r="F558" s="22"/>
      <c r="G558" s="22"/>
      <c r="H558" s="22"/>
      <c r="I558" s="527"/>
      <c r="J558" s="676"/>
    </row>
    <row r="559" spans="1:10" ht="12.75">
      <c r="A559" s="22"/>
      <c r="B559" s="22"/>
      <c r="C559" s="22"/>
      <c r="D559" s="22"/>
      <c r="E559" s="22"/>
      <c r="F559" s="22"/>
      <c r="G559" s="22"/>
      <c r="H559" s="22"/>
      <c r="I559" s="527"/>
      <c r="J559" s="676"/>
    </row>
    <row r="560" spans="1:10" ht="12.75">
      <c r="A560" s="22"/>
      <c r="B560" s="22"/>
      <c r="C560" s="22"/>
      <c r="D560" s="22"/>
      <c r="E560" s="22"/>
      <c r="F560" s="22"/>
      <c r="G560" s="22"/>
      <c r="H560" s="22"/>
      <c r="I560" s="527"/>
      <c r="J560" s="676"/>
    </row>
    <row r="561" spans="1:10" ht="12.75">
      <c r="A561" s="22"/>
      <c r="B561" s="22"/>
      <c r="C561" s="22"/>
      <c r="D561" s="22"/>
      <c r="E561" s="22"/>
      <c r="F561" s="22"/>
      <c r="G561" s="22"/>
      <c r="H561" s="22"/>
      <c r="I561" s="527"/>
      <c r="J561" s="676"/>
    </row>
    <row r="562" spans="1:10" ht="12.75">
      <c r="A562" s="22"/>
      <c r="B562" s="22"/>
      <c r="C562" s="22"/>
      <c r="D562" s="22"/>
      <c r="E562" s="22"/>
      <c r="F562" s="22"/>
      <c r="G562" s="22"/>
      <c r="H562" s="22"/>
      <c r="I562" s="527"/>
      <c r="J562" s="676"/>
    </row>
    <row r="563" spans="1:10" ht="12.75">
      <c r="A563" s="22"/>
      <c r="B563" s="22"/>
      <c r="C563" s="22"/>
      <c r="D563" s="22"/>
      <c r="E563" s="22"/>
      <c r="F563" s="22"/>
      <c r="G563" s="22"/>
      <c r="H563" s="22"/>
      <c r="I563" s="527"/>
      <c r="J563" s="676"/>
    </row>
    <row r="564" spans="1:10" ht="12.75">
      <c r="A564" s="22"/>
      <c r="B564" s="22"/>
      <c r="C564" s="22"/>
      <c r="D564" s="22"/>
      <c r="E564" s="22"/>
      <c r="F564" s="22"/>
      <c r="G564" s="22"/>
      <c r="H564" s="22"/>
      <c r="I564" s="527"/>
      <c r="J564" s="676"/>
    </row>
    <row r="565" spans="1:10" ht="12.75">
      <c r="A565" s="22"/>
      <c r="B565" s="22"/>
      <c r="C565" s="22"/>
      <c r="D565" s="22"/>
      <c r="E565" s="22"/>
      <c r="F565" s="22"/>
      <c r="G565" s="22"/>
      <c r="H565" s="22"/>
      <c r="I565" s="527"/>
      <c r="J565" s="676"/>
    </row>
    <row r="566" spans="1:10" ht="12.75">
      <c r="A566" s="22"/>
      <c r="B566" s="22"/>
      <c r="C566" s="22"/>
      <c r="D566" s="22"/>
      <c r="E566" s="22"/>
      <c r="F566" s="22"/>
      <c r="G566" s="22"/>
      <c r="H566" s="22"/>
      <c r="I566" s="527"/>
      <c r="J566" s="676"/>
    </row>
    <row r="567" spans="1:10" ht="12.75">
      <c r="A567" s="22"/>
      <c r="B567" s="22"/>
      <c r="C567" s="22"/>
      <c r="D567" s="22"/>
      <c r="E567" s="22"/>
      <c r="F567" s="22"/>
      <c r="G567" s="22"/>
      <c r="H567" s="22"/>
      <c r="I567" s="527"/>
      <c r="J567" s="676"/>
    </row>
    <row r="568" spans="1:10" ht="12.75">
      <c r="A568" s="22"/>
      <c r="B568" s="22"/>
      <c r="C568" s="22"/>
      <c r="D568" s="22"/>
      <c r="E568" s="22"/>
      <c r="F568" s="22"/>
      <c r="G568" s="22"/>
      <c r="H568" s="22"/>
      <c r="I568" s="527"/>
      <c r="J568" s="676"/>
    </row>
    <row r="569" spans="1:10" ht="12.75">
      <c r="A569" s="22"/>
      <c r="B569" s="22"/>
      <c r="C569" s="22"/>
      <c r="D569" s="22"/>
      <c r="E569" s="22"/>
      <c r="F569" s="22"/>
      <c r="G569" s="22"/>
      <c r="H569" s="22"/>
      <c r="I569" s="527"/>
      <c r="J569" s="676"/>
    </row>
    <row r="570" spans="1:10" ht="12.75">
      <c r="A570" s="22"/>
      <c r="B570" s="22"/>
      <c r="C570" s="22"/>
      <c r="D570" s="22"/>
      <c r="E570" s="22"/>
      <c r="F570" s="22"/>
      <c r="G570" s="22"/>
      <c r="H570" s="22"/>
      <c r="I570" s="527"/>
      <c r="J570" s="676"/>
    </row>
    <row r="571" spans="1:10" ht="12.75">
      <c r="A571" s="22"/>
      <c r="B571" s="22"/>
      <c r="C571" s="22"/>
      <c r="D571" s="22"/>
      <c r="E571" s="22"/>
      <c r="F571" s="22"/>
      <c r="G571" s="22"/>
      <c r="H571" s="22"/>
      <c r="I571" s="527"/>
      <c r="J571" s="676"/>
    </row>
    <row r="572" spans="1:10" ht="12.75">
      <c r="A572" s="22"/>
      <c r="B572" s="22"/>
      <c r="C572" s="22"/>
      <c r="D572" s="22"/>
      <c r="E572" s="22"/>
      <c r="F572" s="22"/>
      <c r="G572" s="22"/>
      <c r="H572" s="22"/>
      <c r="I572" s="527"/>
      <c r="J572" s="676"/>
    </row>
    <row r="573" spans="1:10" ht="12.75">
      <c r="A573" s="22"/>
      <c r="B573" s="22"/>
      <c r="C573" s="22"/>
      <c r="D573" s="22"/>
      <c r="E573" s="22"/>
      <c r="F573" s="22"/>
      <c r="G573" s="22"/>
      <c r="H573" s="22"/>
      <c r="I573" s="527"/>
      <c r="J573" s="676"/>
    </row>
    <row r="574" spans="1:10" ht="12.75">
      <c r="A574" s="22"/>
      <c r="B574" s="22"/>
      <c r="C574" s="22"/>
      <c r="D574" s="22"/>
      <c r="E574" s="22"/>
      <c r="F574" s="22"/>
      <c r="G574" s="22"/>
      <c r="H574" s="22"/>
      <c r="I574" s="527"/>
      <c r="J574" s="676"/>
    </row>
    <row r="575" spans="1:10" ht="12.75">
      <c r="A575" s="22"/>
      <c r="B575" s="22"/>
      <c r="C575" s="22"/>
      <c r="D575" s="22"/>
      <c r="E575" s="22"/>
      <c r="F575" s="22"/>
      <c r="G575" s="22"/>
      <c r="H575" s="22"/>
      <c r="I575" s="527"/>
      <c r="J575" s="676"/>
    </row>
    <row r="576" spans="1:10" ht="12.75">
      <c r="A576" s="22"/>
      <c r="B576" s="22"/>
      <c r="C576" s="22"/>
      <c r="D576" s="22"/>
      <c r="E576" s="22"/>
      <c r="F576" s="22"/>
      <c r="G576" s="22"/>
      <c r="H576" s="22"/>
      <c r="I576" s="527"/>
      <c r="J576" s="676"/>
    </row>
    <row r="577" spans="1:10" ht="12.75">
      <c r="A577" s="22"/>
      <c r="B577" s="22"/>
      <c r="C577" s="22"/>
      <c r="D577" s="22"/>
      <c r="E577" s="22"/>
      <c r="F577" s="22"/>
      <c r="G577" s="22"/>
      <c r="H577" s="22"/>
      <c r="I577" s="527"/>
      <c r="J577" s="676"/>
    </row>
    <row r="578" spans="1:10" ht="12.75">
      <c r="A578" s="22"/>
      <c r="B578" s="22"/>
      <c r="C578" s="22"/>
      <c r="D578" s="22"/>
      <c r="E578" s="22"/>
      <c r="F578" s="22"/>
      <c r="G578" s="22"/>
      <c r="H578" s="22"/>
      <c r="I578" s="527"/>
      <c r="J578" s="676"/>
    </row>
    <row r="579" spans="1:10" ht="12.75">
      <c r="A579" s="22"/>
      <c r="B579" s="22"/>
      <c r="C579" s="22"/>
      <c r="D579" s="22"/>
      <c r="E579" s="22"/>
      <c r="F579" s="22"/>
      <c r="G579" s="22"/>
      <c r="H579" s="22"/>
      <c r="I579" s="527"/>
      <c r="J579" s="676"/>
    </row>
    <row r="580" spans="1:10" ht="12.75">
      <c r="A580" s="22"/>
      <c r="B580" s="22"/>
      <c r="C580" s="22"/>
      <c r="D580" s="22"/>
      <c r="E580" s="22"/>
      <c r="F580" s="22"/>
      <c r="G580" s="22"/>
      <c r="H580" s="22"/>
      <c r="I580" s="527"/>
      <c r="J580" s="676"/>
    </row>
    <row r="581" spans="1:10" ht="12.75">
      <c r="A581" s="22"/>
      <c r="B581" s="22"/>
      <c r="C581" s="22"/>
      <c r="D581" s="22"/>
      <c r="E581" s="22"/>
      <c r="F581" s="22"/>
      <c r="G581" s="22"/>
      <c r="H581" s="22"/>
      <c r="I581" s="527"/>
      <c r="J581" s="676"/>
    </row>
    <row r="582" spans="1:10" ht="12.75">
      <c r="A582" s="22"/>
      <c r="B582" s="22"/>
      <c r="C582" s="22"/>
      <c r="D582" s="22"/>
      <c r="E582" s="22"/>
      <c r="F582" s="22"/>
      <c r="G582" s="22"/>
      <c r="H582" s="22"/>
      <c r="I582" s="527"/>
      <c r="J582" s="676"/>
    </row>
    <row r="583" spans="1:10" ht="12.75">
      <c r="A583" s="22"/>
      <c r="B583" s="22"/>
      <c r="C583" s="22"/>
      <c r="D583" s="22"/>
      <c r="E583" s="22"/>
      <c r="F583" s="22"/>
      <c r="G583" s="22"/>
      <c r="H583" s="22"/>
      <c r="I583" s="527"/>
      <c r="J583" s="676"/>
    </row>
    <row r="584" spans="1:10" ht="12.75">
      <c r="A584" s="22"/>
      <c r="B584" s="22"/>
      <c r="C584" s="22"/>
      <c r="D584" s="22"/>
      <c r="E584" s="22"/>
      <c r="F584" s="22"/>
      <c r="G584" s="22"/>
      <c r="H584" s="22"/>
      <c r="I584" s="527"/>
      <c r="J584" s="676"/>
    </row>
    <row r="585" spans="1:10" ht="12.75">
      <c r="A585" s="22"/>
      <c r="B585" s="22"/>
      <c r="C585" s="22"/>
      <c r="D585" s="22"/>
      <c r="E585" s="22"/>
      <c r="F585" s="22"/>
      <c r="G585" s="22"/>
      <c r="H585" s="22"/>
      <c r="I585" s="527"/>
      <c r="J585" s="676"/>
    </row>
    <row r="586" spans="1:10" ht="12.75">
      <c r="A586" s="22"/>
      <c r="B586" s="22"/>
      <c r="C586" s="22"/>
      <c r="D586" s="22"/>
      <c r="E586" s="22"/>
      <c r="F586" s="22"/>
      <c r="G586" s="22"/>
      <c r="H586" s="22"/>
      <c r="I586" s="527"/>
      <c r="J586" s="676"/>
    </row>
    <row r="587" spans="1:10" ht="12.75">
      <c r="A587" s="22"/>
      <c r="B587" s="22"/>
      <c r="C587" s="22"/>
      <c r="D587" s="22"/>
      <c r="E587" s="22"/>
      <c r="F587" s="22"/>
      <c r="G587" s="22"/>
      <c r="H587" s="22"/>
      <c r="I587" s="527"/>
      <c r="J587" s="676"/>
    </row>
    <row r="588" spans="1:10" ht="12.75">
      <c r="A588" s="22"/>
      <c r="B588" s="22"/>
      <c r="C588" s="22"/>
      <c r="D588" s="22"/>
      <c r="E588" s="22"/>
      <c r="F588" s="22"/>
      <c r="G588" s="22"/>
      <c r="H588" s="22"/>
      <c r="I588" s="527"/>
      <c r="J588" s="676"/>
    </row>
    <row r="589" spans="1:10" ht="12.75">
      <c r="A589" s="22"/>
      <c r="B589" s="22"/>
      <c r="C589" s="22"/>
      <c r="D589" s="22"/>
      <c r="E589" s="22"/>
      <c r="F589" s="22"/>
      <c r="G589" s="22"/>
      <c r="H589" s="22"/>
      <c r="I589" s="527"/>
      <c r="J589" s="676"/>
    </row>
    <row r="590" spans="1:10" ht="12.75">
      <c r="A590" s="22"/>
      <c r="B590" s="22"/>
      <c r="C590" s="22"/>
      <c r="D590" s="22"/>
      <c r="E590" s="22"/>
      <c r="F590" s="22"/>
      <c r="G590" s="22"/>
      <c r="H590" s="22"/>
      <c r="I590" s="527"/>
      <c r="J590" s="676"/>
    </row>
    <row r="591" spans="1:10" ht="12.75">
      <c r="A591" s="22"/>
      <c r="B591" s="22"/>
      <c r="C591" s="22"/>
      <c r="D591" s="22"/>
      <c r="E591" s="22"/>
      <c r="F591" s="22"/>
      <c r="G591" s="22"/>
      <c r="H591" s="22"/>
      <c r="I591" s="527"/>
      <c r="J591" s="676"/>
    </row>
    <row r="592" spans="1:10" ht="12.75">
      <c r="A592" s="22"/>
      <c r="B592" s="22"/>
      <c r="C592" s="22"/>
      <c r="D592" s="22"/>
      <c r="E592" s="22"/>
      <c r="F592" s="22"/>
      <c r="G592" s="22"/>
      <c r="H592" s="22"/>
      <c r="I592" s="527"/>
      <c r="J592" s="676"/>
    </row>
    <row r="593" spans="1:10" ht="12.75">
      <c r="A593" s="22"/>
      <c r="B593" s="22"/>
      <c r="C593" s="22"/>
      <c r="D593" s="22"/>
      <c r="E593" s="22"/>
      <c r="F593" s="22"/>
      <c r="G593" s="22"/>
      <c r="H593" s="22"/>
      <c r="I593" s="527"/>
      <c r="J593" s="676"/>
    </row>
    <row r="594" spans="1:10" ht="12.75">
      <c r="A594" s="22"/>
      <c r="B594" s="22"/>
      <c r="C594" s="22"/>
      <c r="D594" s="22"/>
      <c r="E594" s="22"/>
      <c r="F594" s="22"/>
      <c r="G594" s="22"/>
      <c r="H594" s="22"/>
      <c r="I594" s="527"/>
      <c r="J594" s="676"/>
    </row>
    <row r="595" spans="1:10" ht="12.75">
      <c r="A595" s="22"/>
      <c r="B595" s="22"/>
      <c r="C595" s="22"/>
      <c r="D595" s="22"/>
      <c r="E595" s="22"/>
      <c r="F595" s="22"/>
      <c r="G595" s="22"/>
      <c r="H595" s="22"/>
      <c r="I595" s="527"/>
      <c r="J595" s="676"/>
    </row>
    <row r="596" spans="1:10" ht="12.75">
      <c r="A596" s="22"/>
      <c r="B596" s="22"/>
      <c r="C596" s="22"/>
      <c r="D596" s="22"/>
      <c r="E596" s="22"/>
      <c r="F596" s="22"/>
      <c r="G596" s="22"/>
      <c r="H596" s="22"/>
      <c r="I596" s="527"/>
      <c r="J596" s="676"/>
    </row>
    <row r="597" spans="1:10" ht="12.75">
      <c r="A597" s="22"/>
      <c r="B597" s="22"/>
      <c r="C597" s="22"/>
      <c r="D597" s="22"/>
      <c r="E597" s="22"/>
      <c r="F597" s="22"/>
      <c r="G597" s="22"/>
      <c r="H597" s="22"/>
      <c r="I597" s="527"/>
      <c r="J597" s="676"/>
    </row>
    <row r="598" spans="1:10" ht="12.75">
      <c r="A598" s="22"/>
      <c r="B598" s="22"/>
      <c r="C598" s="22"/>
      <c r="D598" s="22"/>
      <c r="E598" s="22"/>
      <c r="F598" s="22"/>
      <c r="G598" s="22"/>
      <c r="H598" s="22"/>
      <c r="I598" s="527"/>
      <c r="J598" s="676"/>
    </row>
    <row r="599" spans="1:10" ht="12.75">
      <c r="A599" s="22"/>
      <c r="B599" s="22"/>
      <c r="C599" s="22"/>
      <c r="D599" s="22"/>
      <c r="E599" s="22"/>
      <c r="F599" s="22"/>
      <c r="G599" s="22"/>
      <c r="H599" s="22"/>
      <c r="I599" s="527"/>
      <c r="J599" s="676"/>
    </row>
    <row r="600" spans="1:10" ht="12.75">
      <c r="A600" s="22"/>
      <c r="B600" s="22"/>
      <c r="C600" s="22"/>
      <c r="D600" s="22"/>
      <c r="E600" s="22"/>
      <c r="F600" s="22"/>
      <c r="G600" s="22"/>
      <c r="H600" s="22"/>
      <c r="I600" s="527"/>
      <c r="J600" s="676"/>
    </row>
    <row r="601" spans="1:10" ht="12.75">
      <c r="A601" s="22"/>
      <c r="B601" s="22"/>
      <c r="C601" s="22"/>
      <c r="D601" s="22"/>
      <c r="E601" s="22"/>
      <c r="F601" s="22"/>
      <c r="G601" s="22"/>
      <c r="H601" s="22"/>
      <c r="I601" s="527"/>
      <c r="J601" s="676"/>
    </row>
    <row r="602" spans="1:10" ht="12.75">
      <c r="A602" s="22"/>
      <c r="B602" s="22"/>
      <c r="C602" s="22"/>
      <c r="D602" s="22"/>
      <c r="E602" s="22"/>
      <c r="F602" s="22"/>
      <c r="G602" s="22"/>
      <c r="H602" s="22"/>
      <c r="I602" s="527"/>
      <c r="J602" s="676"/>
    </row>
    <row r="603" spans="1:10" ht="12.75">
      <c r="A603" s="22"/>
      <c r="B603" s="22"/>
      <c r="C603" s="22"/>
      <c r="D603" s="22"/>
      <c r="E603" s="22"/>
      <c r="F603" s="22"/>
      <c r="G603" s="22"/>
      <c r="H603" s="22"/>
      <c r="I603" s="527"/>
      <c r="J603" s="676"/>
    </row>
    <row r="604" spans="1:10" ht="12.75">
      <c r="A604" s="22"/>
      <c r="B604" s="22"/>
      <c r="C604" s="22"/>
      <c r="D604" s="22"/>
      <c r="E604" s="22"/>
      <c r="F604" s="22"/>
      <c r="G604" s="22"/>
      <c r="H604" s="22"/>
      <c r="I604" s="527"/>
      <c r="J604" s="676"/>
    </row>
    <row r="605" spans="1:10" ht="12.75">
      <c r="A605" s="22"/>
      <c r="B605" s="22"/>
      <c r="C605" s="22"/>
      <c r="D605" s="22"/>
      <c r="E605" s="22"/>
      <c r="F605" s="22"/>
      <c r="G605" s="22"/>
      <c r="H605" s="22"/>
      <c r="I605" s="527"/>
      <c r="J605" s="676"/>
    </row>
    <row r="606" spans="1:10" ht="12.75">
      <c r="A606" s="22"/>
      <c r="B606" s="22"/>
      <c r="C606" s="22"/>
      <c r="D606" s="22"/>
      <c r="E606" s="22"/>
      <c r="F606" s="22"/>
      <c r="G606" s="22"/>
      <c r="H606" s="22"/>
      <c r="I606" s="527"/>
      <c r="J606" s="676"/>
    </row>
    <row r="607" spans="1:10" ht="12.75">
      <c r="A607" s="22"/>
      <c r="B607" s="22"/>
      <c r="C607" s="22"/>
      <c r="D607" s="22"/>
      <c r="E607" s="22"/>
      <c r="F607" s="22"/>
      <c r="G607" s="22"/>
      <c r="H607" s="22"/>
      <c r="I607" s="527"/>
      <c r="J607" s="676"/>
    </row>
    <row r="608" spans="1:10" ht="12.75">
      <c r="A608" s="22"/>
      <c r="B608" s="22"/>
      <c r="C608" s="22"/>
      <c r="D608" s="22"/>
      <c r="E608" s="22"/>
      <c r="F608" s="22"/>
      <c r="G608" s="22"/>
      <c r="H608" s="22"/>
      <c r="I608" s="527"/>
      <c r="J608" s="676"/>
    </row>
    <row r="609" spans="1:10" ht="12.75">
      <c r="A609" s="22"/>
      <c r="B609" s="22"/>
      <c r="C609" s="22"/>
      <c r="D609" s="22"/>
      <c r="E609" s="22"/>
      <c r="F609" s="22"/>
      <c r="G609" s="22"/>
      <c r="H609" s="22"/>
      <c r="I609" s="527"/>
      <c r="J609" s="676"/>
    </row>
    <row r="610" spans="1:10" ht="12.75">
      <c r="A610" s="22"/>
      <c r="B610" s="22"/>
      <c r="C610" s="22"/>
      <c r="D610" s="22"/>
      <c r="E610" s="22"/>
      <c r="F610" s="22"/>
      <c r="G610" s="22"/>
      <c r="H610" s="22"/>
      <c r="I610" s="527"/>
      <c r="J610" s="676"/>
    </row>
    <row r="611" spans="1:10" ht="12.75">
      <c r="A611" s="22"/>
      <c r="B611" s="22"/>
      <c r="C611" s="22"/>
      <c r="D611" s="22"/>
      <c r="E611" s="22"/>
      <c r="F611" s="22"/>
      <c r="G611" s="22"/>
      <c r="H611" s="22"/>
      <c r="I611" s="527"/>
      <c r="J611" s="676"/>
    </row>
    <row r="612" spans="1:10" ht="12.75">
      <c r="A612" s="22"/>
      <c r="B612" s="22"/>
      <c r="C612" s="22"/>
      <c r="D612" s="22"/>
      <c r="E612" s="22"/>
      <c r="F612" s="22"/>
      <c r="G612" s="22"/>
      <c r="H612" s="22"/>
      <c r="I612" s="527"/>
      <c r="J612" s="676"/>
    </row>
    <row r="613" spans="1:10" ht="12.75">
      <c r="A613" s="22"/>
      <c r="B613" s="22"/>
      <c r="C613" s="22"/>
      <c r="D613" s="22"/>
      <c r="E613" s="22"/>
      <c r="F613" s="22"/>
      <c r="G613" s="22"/>
      <c r="H613" s="22"/>
      <c r="I613" s="527"/>
      <c r="J613" s="676"/>
    </row>
    <row r="614" spans="1:10" ht="12.75">
      <c r="A614" s="22"/>
      <c r="B614" s="22"/>
      <c r="C614" s="22"/>
      <c r="D614" s="22"/>
      <c r="E614" s="22"/>
      <c r="F614" s="22"/>
      <c r="G614" s="22"/>
      <c r="H614" s="22"/>
      <c r="I614" s="527"/>
      <c r="J614" s="676"/>
    </row>
    <row r="615" spans="1:10" ht="12.75">
      <c r="A615" s="22"/>
      <c r="B615" s="22"/>
      <c r="C615" s="22"/>
      <c r="D615" s="22"/>
      <c r="E615" s="22"/>
      <c r="F615" s="22"/>
      <c r="G615" s="22"/>
      <c r="H615" s="22"/>
      <c r="I615" s="527"/>
      <c r="J615" s="676"/>
    </row>
    <row r="616" spans="1:10" ht="12.75">
      <c r="A616" s="22"/>
      <c r="B616" s="22"/>
      <c r="C616" s="22"/>
      <c r="D616" s="22"/>
      <c r="E616" s="22"/>
      <c r="F616" s="22"/>
      <c r="G616" s="22"/>
      <c r="H616" s="22"/>
      <c r="I616" s="527"/>
      <c r="J616" s="676"/>
    </row>
    <row r="617" spans="1:10" ht="12.75">
      <c r="A617" s="22"/>
      <c r="B617" s="22"/>
      <c r="C617" s="22"/>
      <c r="D617" s="22"/>
      <c r="E617" s="22"/>
      <c r="F617" s="22"/>
      <c r="G617" s="22"/>
      <c r="H617" s="22"/>
      <c r="I617" s="527"/>
      <c r="J617" s="676"/>
    </row>
    <row r="618" spans="1:10" ht="12.75">
      <c r="A618" s="22"/>
      <c r="B618" s="22"/>
      <c r="C618" s="22"/>
      <c r="D618" s="22"/>
      <c r="E618" s="22"/>
      <c r="F618" s="22"/>
      <c r="G618" s="22"/>
      <c r="H618" s="22"/>
      <c r="I618" s="527"/>
      <c r="J618" s="676"/>
    </row>
    <row r="619" spans="1:10" ht="12.75">
      <c r="A619" s="22"/>
      <c r="B619" s="22"/>
      <c r="C619" s="22"/>
      <c r="D619" s="22"/>
      <c r="E619" s="22"/>
      <c r="F619" s="22"/>
      <c r="G619" s="22"/>
      <c r="H619" s="22"/>
      <c r="I619" s="527"/>
      <c r="J619" s="676"/>
    </row>
    <row r="620" spans="1:10" ht="12.75">
      <c r="A620" s="22"/>
      <c r="B620" s="22"/>
      <c r="C620" s="22"/>
      <c r="D620" s="22"/>
      <c r="E620" s="22"/>
      <c r="F620" s="22"/>
      <c r="G620" s="22"/>
      <c r="H620" s="22"/>
      <c r="I620" s="527"/>
      <c r="J620" s="676"/>
    </row>
    <row r="621" spans="1:10" ht="12.75">
      <c r="A621" s="22"/>
      <c r="B621" s="22"/>
      <c r="C621" s="22"/>
      <c r="D621" s="22"/>
      <c r="E621" s="22"/>
      <c r="F621" s="22"/>
      <c r="G621" s="22"/>
      <c r="H621" s="22"/>
      <c r="I621" s="527"/>
      <c r="J621" s="676"/>
    </row>
    <row r="622" spans="1:10" ht="12.75">
      <c r="A622" s="22"/>
      <c r="B622" s="22"/>
      <c r="C622" s="22"/>
      <c r="D622" s="22"/>
      <c r="E622" s="22"/>
      <c r="F622" s="22"/>
      <c r="G622" s="22"/>
      <c r="H622" s="22"/>
      <c r="I622" s="527"/>
      <c r="J622" s="676"/>
    </row>
    <row r="623" spans="1:10" ht="12.75">
      <c r="A623" s="22"/>
      <c r="B623" s="22"/>
      <c r="C623" s="22"/>
      <c r="D623" s="22"/>
      <c r="E623" s="22"/>
      <c r="F623" s="22"/>
      <c r="G623" s="22"/>
      <c r="H623" s="22"/>
      <c r="I623" s="527"/>
      <c r="J623" s="676"/>
    </row>
    <row r="624" spans="1:10" ht="12.75">
      <c r="A624" s="22"/>
      <c r="B624" s="22"/>
      <c r="C624" s="22"/>
      <c r="D624" s="22"/>
      <c r="E624" s="22"/>
      <c r="F624" s="22"/>
      <c r="G624" s="22"/>
      <c r="H624" s="22"/>
      <c r="I624" s="527"/>
      <c r="J624" s="676"/>
    </row>
    <row r="625" spans="1:10" ht="12.75">
      <c r="A625" s="22"/>
      <c r="B625" s="22"/>
      <c r="C625" s="22"/>
      <c r="D625" s="22"/>
      <c r="E625" s="22"/>
      <c r="F625" s="22"/>
      <c r="G625" s="22"/>
      <c r="H625" s="22"/>
      <c r="I625" s="527"/>
      <c r="J625" s="676"/>
    </row>
    <row r="626" spans="1:10" ht="12.75">
      <c r="A626" s="22"/>
      <c r="B626" s="22"/>
      <c r="C626" s="22"/>
      <c r="D626" s="22"/>
      <c r="E626" s="22"/>
      <c r="F626" s="22"/>
      <c r="G626" s="22"/>
      <c r="H626" s="22"/>
      <c r="I626" s="527"/>
      <c r="J626" s="676"/>
    </row>
    <row r="627" spans="1:10" ht="12.75">
      <c r="A627" s="22"/>
      <c r="B627" s="22"/>
      <c r="C627" s="22"/>
      <c r="D627" s="22"/>
      <c r="E627" s="22"/>
      <c r="F627" s="22"/>
      <c r="G627" s="22"/>
      <c r="H627" s="22"/>
      <c r="I627" s="527"/>
      <c r="J627" s="676"/>
    </row>
    <row r="628" spans="1:10" ht="12.75">
      <c r="A628" s="22"/>
      <c r="B628" s="22"/>
      <c r="C628" s="22"/>
      <c r="D628" s="22"/>
      <c r="E628" s="22"/>
      <c r="F628" s="22"/>
      <c r="G628" s="22"/>
      <c r="H628" s="22"/>
      <c r="I628" s="527"/>
      <c r="J628" s="676"/>
    </row>
    <row r="629" spans="1:10" ht="12.75">
      <c r="A629" s="22"/>
      <c r="B629" s="22"/>
      <c r="C629" s="22"/>
      <c r="D629" s="22"/>
      <c r="E629" s="22"/>
      <c r="F629" s="22"/>
      <c r="G629" s="22"/>
      <c r="H629" s="22"/>
      <c r="I629" s="527"/>
      <c r="J629" s="676"/>
    </row>
    <row r="630" spans="1:10" ht="12.75">
      <c r="A630" s="22"/>
      <c r="B630" s="22"/>
      <c r="C630" s="22"/>
      <c r="D630" s="22"/>
      <c r="E630" s="22"/>
      <c r="F630" s="22"/>
      <c r="G630" s="22"/>
      <c r="H630" s="22"/>
      <c r="I630" s="527"/>
      <c r="J630" s="676"/>
    </row>
    <row r="631" spans="1:10" ht="12.75">
      <c r="A631" s="22"/>
      <c r="B631" s="22"/>
      <c r="C631" s="22"/>
      <c r="D631" s="22"/>
      <c r="E631" s="22"/>
      <c r="F631" s="22"/>
      <c r="G631" s="22"/>
      <c r="H631" s="22"/>
      <c r="I631" s="527"/>
      <c r="J631" s="676"/>
    </row>
    <row r="632" spans="1:10" ht="12.75">
      <c r="A632" s="22"/>
      <c r="B632" s="22"/>
      <c r="C632" s="22"/>
      <c r="D632" s="22"/>
      <c r="E632" s="22"/>
      <c r="F632" s="22"/>
      <c r="G632" s="22"/>
      <c r="H632" s="22"/>
      <c r="I632" s="527"/>
      <c r="J632" s="676"/>
    </row>
    <row r="633" spans="1:10" ht="12.75">
      <c r="A633" s="22"/>
      <c r="B633" s="22"/>
      <c r="C633" s="22"/>
      <c r="D633" s="22"/>
      <c r="E633" s="22"/>
      <c r="F633" s="22"/>
      <c r="G633" s="22"/>
      <c r="H633" s="22"/>
      <c r="I633" s="527"/>
      <c r="J633" s="676"/>
    </row>
    <row r="634" spans="1:10" ht="12.75">
      <c r="A634" s="22"/>
      <c r="B634" s="22"/>
      <c r="C634" s="22"/>
      <c r="D634" s="22"/>
      <c r="E634" s="22"/>
      <c r="F634" s="22"/>
      <c r="G634" s="22"/>
      <c r="H634" s="22"/>
      <c r="I634" s="527"/>
      <c r="J634" s="676"/>
    </row>
    <row r="635" spans="1:10" ht="12.75">
      <c r="A635" s="22"/>
      <c r="B635" s="22"/>
      <c r="C635" s="22"/>
      <c r="D635" s="22"/>
      <c r="E635" s="22"/>
      <c r="F635" s="22"/>
      <c r="G635" s="22"/>
      <c r="H635" s="22"/>
      <c r="I635" s="527"/>
      <c r="J635" s="676"/>
    </row>
    <row r="636" spans="1:10" ht="12.75">
      <c r="A636" s="22"/>
      <c r="B636" s="22"/>
      <c r="C636" s="22"/>
      <c r="D636" s="22"/>
      <c r="E636" s="22"/>
      <c r="F636" s="22"/>
      <c r="G636" s="22"/>
      <c r="H636" s="22"/>
      <c r="I636" s="527"/>
      <c r="J636" s="676"/>
    </row>
    <row r="637" spans="1:10" ht="12.75">
      <c r="A637" s="22"/>
      <c r="B637" s="22"/>
      <c r="C637" s="22"/>
      <c r="D637" s="22"/>
      <c r="E637" s="22"/>
      <c r="F637" s="22"/>
      <c r="G637" s="22"/>
      <c r="H637" s="22"/>
      <c r="I637" s="527"/>
      <c r="J637" s="676"/>
    </row>
    <row r="638" spans="1:10" ht="12.75">
      <c r="A638" s="22"/>
      <c r="B638" s="22"/>
      <c r="C638" s="22"/>
      <c r="D638" s="22"/>
      <c r="E638" s="22"/>
      <c r="F638" s="22"/>
      <c r="G638" s="22"/>
      <c r="H638" s="22"/>
      <c r="I638" s="527"/>
      <c r="J638" s="676"/>
    </row>
    <row r="639" spans="1:10" ht="12.75">
      <c r="A639" s="22"/>
      <c r="B639" s="22"/>
      <c r="C639" s="22"/>
      <c r="D639" s="22"/>
      <c r="E639" s="22"/>
      <c r="F639" s="22"/>
      <c r="G639" s="22"/>
      <c r="H639" s="22"/>
      <c r="I639" s="527"/>
      <c r="J639" s="676"/>
    </row>
    <row r="640" spans="1:10" ht="12.75">
      <c r="A640" s="22"/>
      <c r="B640" s="22"/>
      <c r="C640" s="22"/>
      <c r="D640" s="22"/>
      <c r="E640" s="22"/>
      <c r="F640" s="22"/>
      <c r="G640" s="22"/>
      <c r="H640" s="22"/>
      <c r="I640" s="527"/>
      <c r="J640" s="676"/>
    </row>
    <row r="641" spans="1:10" ht="12.75">
      <c r="A641" s="22"/>
      <c r="B641" s="22"/>
      <c r="C641" s="22"/>
      <c r="D641" s="22"/>
      <c r="E641" s="22"/>
      <c r="F641" s="22"/>
      <c r="G641" s="22"/>
      <c r="H641" s="22"/>
      <c r="I641" s="527"/>
      <c r="J641" s="676"/>
    </row>
    <row r="642" spans="1:10" ht="12.75">
      <c r="A642" s="22"/>
      <c r="B642" s="22"/>
      <c r="C642" s="22"/>
      <c r="D642" s="22"/>
      <c r="E642" s="22"/>
      <c r="F642" s="22"/>
      <c r="G642" s="22"/>
      <c r="H642" s="22"/>
      <c r="I642" s="527"/>
      <c r="J642" s="676"/>
    </row>
    <row r="643" spans="1:10" ht="12.75">
      <c r="A643" s="22"/>
      <c r="B643" s="22"/>
      <c r="C643" s="22"/>
      <c r="D643" s="22"/>
      <c r="E643" s="22"/>
      <c r="F643" s="22"/>
      <c r="G643" s="22"/>
      <c r="H643" s="22"/>
      <c r="I643" s="527"/>
      <c r="J643" s="676"/>
    </row>
    <row r="644" spans="1:10" ht="12.75">
      <c r="A644" s="22"/>
      <c r="B644" s="22"/>
      <c r="C644" s="22"/>
      <c r="D644" s="22"/>
      <c r="E644" s="22"/>
      <c r="F644" s="22"/>
      <c r="G644" s="22"/>
      <c r="H644" s="22"/>
      <c r="I644" s="527"/>
      <c r="J644" s="676"/>
    </row>
    <row r="645" spans="1:10" ht="12.75">
      <c r="A645" s="22"/>
      <c r="B645" s="22"/>
      <c r="C645" s="22"/>
      <c r="D645" s="22"/>
      <c r="E645" s="22"/>
      <c r="F645" s="22"/>
      <c r="G645" s="22"/>
      <c r="H645" s="22"/>
      <c r="I645" s="527"/>
      <c r="J645" s="676"/>
    </row>
    <row r="646" spans="1:10" ht="12.75">
      <c r="A646" s="22"/>
      <c r="B646" s="22"/>
      <c r="C646" s="22"/>
      <c r="D646" s="22"/>
      <c r="E646" s="22"/>
      <c r="F646" s="22"/>
      <c r="G646" s="22"/>
      <c r="H646" s="22"/>
      <c r="I646" s="527"/>
      <c r="J646" s="676"/>
    </row>
    <row r="647" spans="1:10" ht="12.75">
      <c r="A647" s="22"/>
      <c r="B647" s="22"/>
      <c r="C647" s="22"/>
      <c r="D647" s="22"/>
      <c r="E647" s="22"/>
      <c r="F647" s="22"/>
      <c r="G647" s="22"/>
      <c r="H647" s="22"/>
      <c r="I647" s="527"/>
      <c r="J647" s="676"/>
    </row>
    <row r="648" spans="1:10" ht="12.75">
      <c r="A648" s="22"/>
      <c r="B648" s="22"/>
      <c r="C648" s="22"/>
      <c r="D648" s="22"/>
      <c r="E648" s="22"/>
      <c r="F648" s="22"/>
      <c r="G648" s="22"/>
      <c r="H648" s="22"/>
      <c r="I648" s="527"/>
      <c r="J648" s="676"/>
    </row>
    <row r="649" spans="1:10" ht="12.75">
      <c r="A649" s="22"/>
      <c r="B649" s="22"/>
      <c r="C649" s="22"/>
      <c r="D649" s="22"/>
      <c r="E649" s="22"/>
      <c r="F649" s="22"/>
      <c r="G649" s="22"/>
      <c r="H649" s="22"/>
      <c r="I649" s="527"/>
      <c r="J649" s="676"/>
    </row>
    <row r="650" spans="1:10" ht="12.75">
      <c r="A650" s="22"/>
      <c r="B650" s="22"/>
      <c r="C650" s="22"/>
      <c r="D650" s="22"/>
      <c r="E650" s="22"/>
      <c r="F650" s="22"/>
      <c r="G650" s="22"/>
      <c r="H650" s="22"/>
      <c r="I650" s="527"/>
      <c r="J650" s="676"/>
    </row>
    <row r="651" spans="1:10" ht="12.75">
      <c r="A651" s="22"/>
      <c r="B651" s="22"/>
      <c r="C651" s="22"/>
      <c r="D651" s="22"/>
      <c r="E651" s="22"/>
      <c r="F651" s="22"/>
      <c r="G651" s="22"/>
      <c r="H651" s="22"/>
      <c r="I651" s="527"/>
      <c r="J651" s="676"/>
    </row>
    <row r="652" spans="1:10" ht="12.75">
      <c r="A652" s="22"/>
      <c r="B652" s="22"/>
      <c r="C652" s="22"/>
      <c r="D652" s="22"/>
      <c r="E652" s="22"/>
      <c r="F652" s="22"/>
      <c r="G652" s="22"/>
      <c r="H652" s="22"/>
      <c r="I652" s="527"/>
      <c r="J652" s="676"/>
    </row>
    <row r="653" spans="1:10" ht="12.75">
      <c r="A653" s="22"/>
      <c r="B653" s="22"/>
      <c r="C653" s="22"/>
      <c r="D653" s="22"/>
      <c r="E653" s="22"/>
      <c r="F653" s="22"/>
      <c r="G653" s="22"/>
      <c r="H653" s="22"/>
      <c r="I653" s="527"/>
      <c r="J653" s="676"/>
    </row>
    <row r="654" spans="1:10" ht="12.75">
      <c r="A654" s="22"/>
      <c r="B654" s="22"/>
      <c r="C654" s="22"/>
      <c r="D654" s="22"/>
      <c r="E654" s="22"/>
      <c r="F654" s="22"/>
      <c r="G654" s="22"/>
      <c r="H654" s="22"/>
      <c r="I654" s="527"/>
      <c r="J654" s="676"/>
    </row>
    <row r="655" spans="1:10" ht="12.75">
      <c r="A655" s="22"/>
      <c r="B655" s="22"/>
      <c r="C655" s="22"/>
      <c r="D655" s="22"/>
      <c r="E655" s="22"/>
      <c r="F655" s="22"/>
      <c r="G655" s="22"/>
      <c r="H655" s="22"/>
      <c r="I655" s="527"/>
      <c r="J655" s="676"/>
    </row>
    <row r="656" spans="1:10" ht="12.75">
      <c r="A656" s="22"/>
      <c r="B656" s="22"/>
      <c r="C656" s="22"/>
      <c r="D656" s="22"/>
      <c r="E656" s="22"/>
      <c r="F656" s="22"/>
      <c r="G656" s="22"/>
      <c r="H656" s="22"/>
      <c r="I656" s="527"/>
      <c r="J656" s="676"/>
    </row>
    <row r="657" spans="1:10" ht="12.75">
      <c r="A657" s="22"/>
      <c r="B657" s="22"/>
      <c r="C657" s="22"/>
      <c r="D657" s="22"/>
      <c r="E657" s="22"/>
      <c r="F657" s="22"/>
      <c r="G657" s="22"/>
      <c r="H657" s="22"/>
      <c r="I657" s="527"/>
      <c r="J657" s="676"/>
    </row>
    <row r="658" spans="1:10" ht="12.75">
      <c r="A658" s="22"/>
      <c r="B658" s="22"/>
      <c r="C658" s="22"/>
      <c r="D658" s="22"/>
      <c r="E658" s="22"/>
      <c r="F658" s="22"/>
      <c r="G658" s="22"/>
      <c r="H658" s="22"/>
      <c r="I658" s="527"/>
      <c r="J658" s="676"/>
    </row>
    <row r="659" spans="1:10" ht="12.75">
      <c r="A659" s="22"/>
      <c r="B659" s="22"/>
      <c r="C659" s="22"/>
      <c r="D659" s="22"/>
      <c r="E659" s="22"/>
      <c r="F659" s="22"/>
      <c r="G659" s="22"/>
      <c r="H659" s="22"/>
      <c r="I659" s="527"/>
      <c r="J659" s="676"/>
    </row>
    <row r="660" spans="1:10" ht="12.75">
      <c r="A660" s="22"/>
      <c r="B660" s="22"/>
      <c r="C660" s="22"/>
      <c r="D660" s="22"/>
      <c r="E660" s="22"/>
      <c r="F660" s="22"/>
      <c r="G660" s="22"/>
      <c r="H660" s="22"/>
      <c r="I660" s="527"/>
      <c r="J660" s="676"/>
    </row>
    <row r="661" spans="1:10" ht="12.75">
      <c r="A661" s="22"/>
      <c r="B661" s="22"/>
      <c r="C661" s="22"/>
      <c r="D661" s="22"/>
      <c r="E661" s="22"/>
      <c r="F661" s="22"/>
      <c r="G661" s="22"/>
      <c r="H661" s="22"/>
      <c r="I661" s="527"/>
      <c r="J661" s="676"/>
    </row>
    <row r="662" spans="1:10" ht="12.75">
      <c r="A662" s="22"/>
      <c r="B662" s="22"/>
      <c r="C662" s="22"/>
      <c r="D662" s="22"/>
      <c r="E662" s="22"/>
      <c r="F662" s="22"/>
      <c r="G662" s="22"/>
      <c r="H662" s="22"/>
      <c r="I662" s="527"/>
      <c r="J662" s="676"/>
    </row>
    <row r="663" spans="1:10" ht="12.75">
      <c r="A663" s="22"/>
      <c r="B663" s="22"/>
      <c r="C663" s="22"/>
      <c r="D663" s="22"/>
      <c r="E663" s="22"/>
      <c r="F663" s="22"/>
      <c r="G663" s="22"/>
      <c r="H663" s="22"/>
      <c r="I663" s="527"/>
      <c r="J663" s="676"/>
    </row>
    <row r="664" spans="1:10" ht="12.75">
      <c r="A664" s="22"/>
      <c r="B664" s="22"/>
      <c r="C664" s="22"/>
      <c r="D664" s="22"/>
      <c r="E664" s="22"/>
      <c r="F664" s="22"/>
      <c r="G664" s="22"/>
      <c r="H664" s="22"/>
      <c r="I664" s="527"/>
      <c r="J664" s="676"/>
    </row>
    <row r="665" spans="1:10" ht="12.75">
      <c r="A665" s="22"/>
      <c r="B665" s="22"/>
      <c r="C665" s="22"/>
      <c r="D665" s="22"/>
      <c r="E665" s="22"/>
      <c r="F665" s="22"/>
      <c r="G665" s="22"/>
      <c r="H665" s="22"/>
      <c r="I665" s="527"/>
      <c r="J665" s="676"/>
    </row>
    <row r="666" spans="1:10" ht="12.75">
      <c r="A666" s="22"/>
      <c r="B666" s="22"/>
      <c r="C666" s="22"/>
      <c r="D666" s="22"/>
      <c r="E666" s="22"/>
      <c r="F666" s="22"/>
      <c r="G666" s="22"/>
      <c r="H666" s="22"/>
      <c r="I666" s="527"/>
      <c r="J666" s="676"/>
    </row>
    <row r="667" spans="1:10" ht="12.75">
      <c r="A667" s="22"/>
      <c r="B667" s="22"/>
      <c r="C667" s="22"/>
      <c r="D667" s="22"/>
      <c r="E667" s="22"/>
      <c r="F667" s="22"/>
      <c r="G667" s="22"/>
      <c r="H667" s="22"/>
      <c r="I667" s="527"/>
      <c r="J667" s="676"/>
    </row>
    <row r="668" spans="1:10" ht="12.75">
      <c r="A668" s="22"/>
      <c r="B668" s="22"/>
      <c r="C668" s="22"/>
      <c r="D668" s="22"/>
      <c r="E668" s="22"/>
      <c r="F668" s="22"/>
      <c r="G668" s="22"/>
      <c r="H668" s="22"/>
      <c r="I668" s="527"/>
      <c r="J668" s="676"/>
    </row>
    <row r="669" spans="1:10" ht="12.75">
      <c r="A669" s="22"/>
      <c r="B669" s="22"/>
      <c r="C669" s="22"/>
      <c r="D669" s="22"/>
      <c r="E669" s="22"/>
      <c r="F669" s="22"/>
      <c r="G669" s="22"/>
      <c r="H669" s="22"/>
      <c r="I669" s="527"/>
      <c r="J669" s="676"/>
    </row>
    <row r="670" spans="1:10" ht="12.75">
      <c r="A670" s="22"/>
      <c r="B670" s="22"/>
      <c r="C670" s="22"/>
      <c r="D670" s="22"/>
      <c r="E670" s="22"/>
      <c r="F670" s="22"/>
      <c r="G670" s="22"/>
      <c r="H670" s="22"/>
      <c r="I670" s="527"/>
      <c r="J670" s="676"/>
    </row>
    <row r="671" spans="1:10" ht="12.75">
      <c r="A671" s="22"/>
      <c r="B671" s="22"/>
      <c r="C671" s="22"/>
      <c r="D671" s="22"/>
      <c r="E671" s="22"/>
      <c r="F671" s="22"/>
      <c r="G671" s="22"/>
      <c r="H671" s="22"/>
      <c r="I671" s="527"/>
      <c r="J671" s="676"/>
    </row>
    <row r="672" spans="1:10" ht="12.75">
      <c r="A672" s="22"/>
      <c r="B672" s="22"/>
      <c r="C672" s="22"/>
      <c r="D672" s="22"/>
      <c r="E672" s="22"/>
      <c r="F672" s="22"/>
      <c r="G672" s="22"/>
      <c r="H672" s="22"/>
      <c r="I672" s="527"/>
      <c r="J672" s="676"/>
    </row>
    <row r="673" spans="1:10" ht="12.75">
      <c r="A673" s="22"/>
      <c r="B673" s="22"/>
      <c r="C673" s="22"/>
      <c r="D673" s="22"/>
      <c r="E673" s="22"/>
      <c r="F673" s="22"/>
      <c r="G673" s="22"/>
      <c r="H673" s="22"/>
      <c r="I673" s="527"/>
      <c r="J673" s="676"/>
    </row>
    <row r="674" spans="1:10" ht="12.75">
      <c r="A674" s="22"/>
      <c r="B674" s="22"/>
      <c r="C674" s="22"/>
      <c r="D674" s="22"/>
      <c r="E674" s="22"/>
      <c r="F674" s="22"/>
      <c r="G674" s="22"/>
      <c r="H674" s="22"/>
      <c r="I674" s="527"/>
      <c r="J674" s="676"/>
    </row>
    <row r="675" spans="1:10" ht="12.75">
      <c r="A675" s="22"/>
      <c r="B675" s="22"/>
      <c r="C675" s="22"/>
      <c r="D675" s="22"/>
      <c r="E675" s="22"/>
      <c r="F675" s="22"/>
      <c r="G675" s="22"/>
      <c r="H675" s="22"/>
      <c r="I675" s="527"/>
      <c r="J675" s="676"/>
    </row>
    <row r="676" spans="1:10" ht="12.75">
      <c r="A676" s="22"/>
      <c r="B676" s="22"/>
      <c r="C676" s="22"/>
      <c r="D676" s="22"/>
      <c r="E676" s="22"/>
      <c r="F676" s="22"/>
      <c r="G676" s="22"/>
      <c r="H676" s="22"/>
      <c r="I676" s="527"/>
      <c r="J676" s="676"/>
    </row>
    <row r="677" spans="1:10" ht="12.75">
      <c r="A677" s="22"/>
      <c r="B677" s="22"/>
      <c r="C677" s="22"/>
      <c r="D677" s="22"/>
      <c r="E677" s="22"/>
      <c r="F677" s="22"/>
      <c r="G677" s="22"/>
      <c r="H677" s="22"/>
      <c r="I677" s="527"/>
      <c r="J677" s="676"/>
    </row>
    <row r="678" spans="1:10" ht="12.75">
      <c r="A678" s="22"/>
      <c r="B678" s="22"/>
      <c r="C678" s="22"/>
      <c r="D678" s="22"/>
      <c r="E678" s="22"/>
      <c r="F678" s="22"/>
      <c r="G678" s="22"/>
      <c r="H678" s="22"/>
      <c r="I678" s="527"/>
      <c r="J678" s="676"/>
    </row>
    <row r="679" spans="1:10" ht="12.75">
      <c r="A679" s="22"/>
      <c r="B679" s="22"/>
      <c r="C679" s="22"/>
      <c r="D679" s="22"/>
      <c r="E679" s="22"/>
      <c r="F679" s="22"/>
      <c r="G679" s="22"/>
      <c r="H679" s="22"/>
      <c r="I679" s="527"/>
      <c r="J679" s="676"/>
    </row>
    <row r="680" spans="1:10" ht="12.75">
      <c r="A680" s="22"/>
      <c r="B680" s="22"/>
      <c r="C680" s="22"/>
      <c r="D680" s="22"/>
      <c r="E680" s="22"/>
      <c r="F680" s="22"/>
      <c r="G680" s="22"/>
      <c r="H680" s="22"/>
      <c r="I680" s="527"/>
      <c r="J680" s="676"/>
    </row>
    <row r="681" spans="1:10" ht="12.75">
      <c r="A681" s="22"/>
      <c r="B681" s="22"/>
      <c r="C681" s="22"/>
      <c r="D681" s="22"/>
      <c r="E681" s="22"/>
      <c r="F681" s="22"/>
      <c r="G681" s="22"/>
      <c r="H681" s="22"/>
      <c r="I681" s="527"/>
      <c r="J681" s="676"/>
    </row>
    <row r="682" spans="1:10" ht="12.75">
      <c r="A682" s="22"/>
      <c r="B682" s="22"/>
      <c r="C682" s="22"/>
      <c r="D682" s="22"/>
      <c r="E682" s="22"/>
      <c r="F682" s="22"/>
      <c r="G682" s="22"/>
      <c r="H682" s="22"/>
      <c r="I682" s="527"/>
      <c r="J682" s="676"/>
    </row>
    <row r="683" spans="1:10" ht="12.75">
      <c r="A683" s="22"/>
      <c r="B683" s="22"/>
      <c r="C683" s="22"/>
      <c r="D683" s="22"/>
      <c r="E683" s="22"/>
      <c r="F683" s="22"/>
      <c r="G683" s="22"/>
      <c r="H683" s="22"/>
      <c r="I683" s="527"/>
      <c r="J683" s="676"/>
    </row>
    <row r="684" spans="1:10" ht="12.75">
      <c r="A684" s="22"/>
      <c r="B684" s="22"/>
      <c r="C684" s="22"/>
      <c r="D684" s="22"/>
      <c r="E684" s="22"/>
      <c r="F684" s="22"/>
      <c r="G684" s="22"/>
      <c r="H684" s="22"/>
      <c r="I684" s="527"/>
      <c r="J684" s="676"/>
    </row>
    <row r="685" spans="1:10" ht="12.75">
      <c r="A685" s="22"/>
      <c r="B685" s="22"/>
      <c r="C685" s="22"/>
      <c r="D685" s="22"/>
      <c r="E685" s="22"/>
      <c r="F685" s="22"/>
      <c r="G685" s="22"/>
      <c r="H685" s="22"/>
      <c r="I685" s="527"/>
      <c r="J685" s="676"/>
    </row>
    <row r="686" spans="1:10" ht="12.75">
      <c r="A686" s="22"/>
      <c r="B686" s="22"/>
      <c r="C686" s="22"/>
      <c r="D686" s="22"/>
      <c r="E686" s="22"/>
      <c r="F686" s="22"/>
      <c r="G686" s="22"/>
      <c r="H686" s="22"/>
      <c r="I686" s="527"/>
      <c r="J686" s="676"/>
    </row>
    <row r="687" spans="1:10" ht="12.75">
      <c r="A687" s="22"/>
      <c r="B687" s="22"/>
      <c r="C687" s="22"/>
      <c r="D687" s="22"/>
      <c r="E687" s="22"/>
      <c r="F687" s="22"/>
      <c r="G687" s="22"/>
      <c r="H687" s="22"/>
      <c r="I687" s="527"/>
      <c r="J687" s="676"/>
    </row>
    <row r="688" spans="1:10" ht="12.75">
      <c r="A688" s="22"/>
      <c r="B688" s="22"/>
      <c r="C688" s="22"/>
      <c r="D688" s="22"/>
      <c r="E688" s="22"/>
      <c r="F688" s="22"/>
      <c r="G688" s="22"/>
      <c r="H688" s="22"/>
      <c r="I688" s="527"/>
      <c r="J688" s="676"/>
    </row>
    <row r="689" spans="1:10" ht="12.75">
      <c r="A689" s="22"/>
      <c r="B689" s="22"/>
      <c r="C689" s="22"/>
      <c r="D689" s="22"/>
      <c r="E689" s="22"/>
      <c r="F689" s="22"/>
      <c r="G689" s="22"/>
      <c r="H689" s="22"/>
      <c r="I689" s="527"/>
      <c r="J689" s="676"/>
    </row>
    <row r="690" spans="1:10" ht="12.75">
      <c r="A690" s="22"/>
      <c r="B690" s="22"/>
      <c r="C690" s="22"/>
      <c r="D690" s="22"/>
      <c r="E690" s="22"/>
      <c r="F690" s="22"/>
      <c r="G690" s="22"/>
      <c r="H690" s="22"/>
      <c r="I690" s="527"/>
      <c r="J690" s="676"/>
    </row>
    <row r="691" spans="1:10" ht="12.75">
      <c r="A691" s="22"/>
      <c r="B691" s="22"/>
      <c r="C691" s="22"/>
      <c r="D691" s="22"/>
      <c r="E691" s="22"/>
      <c r="F691" s="22"/>
      <c r="G691" s="22"/>
      <c r="H691" s="22"/>
      <c r="I691" s="527"/>
      <c r="J691" s="676"/>
    </row>
    <row r="692" spans="1:10" ht="12.75">
      <c r="A692" s="22"/>
      <c r="B692" s="22"/>
      <c r="C692" s="22"/>
      <c r="D692" s="22"/>
      <c r="E692" s="22"/>
      <c r="F692" s="22"/>
      <c r="G692" s="22"/>
      <c r="H692" s="22"/>
      <c r="I692" s="527"/>
      <c r="J692" s="676"/>
    </row>
    <row r="693" spans="1:10" ht="12.75">
      <c r="A693" s="22"/>
      <c r="B693" s="22"/>
      <c r="C693" s="22"/>
      <c r="D693" s="22"/>
      <c r="E693" s="22"/>
      <c r="F693" s="22"/>
      <c r="G693" s="22"/>
      <c r="H693" s="22"/>
      <c r="I693" s="527"/>
      <c r="J693" s="676"/>
    </row>
    <row r="694" spans="1:10" ht="12.75">
      <c r="A694" s="22"/>
      <c r="B694" s="22"/>
      <c r="C694" s="22"/>
      <c r="D694" s="22"/>
      <c r="E694" s="22"/>
      <c r="F694" s="22"/>
      <c r="G694" s="22"/>
      <c r="H694" s="22"/>
      <c r="I694" s="527"/>
      <c r="J694" s="676"/>
    </row>
    <row r="695" spans="1:10" ht="12.75">
      <c r="A695" s="22"/>
      <c r="B695" s="22"/>
      <c r="C695" s="22"/>
      <c r="D695" s="22"/>
      <c r="E695" s="22"/>
      <c r="F695" s="22"/>
      <c r="G695" s="22"/>
      <c r="H695" s="22"/>
      <c r="I695" s="527"/>
      <c r="J695" s="676"/>
    </row>
    <row r="696" spans="1:10" ht="12.75">
      <c r="A696" s="22"/>
      <c r="B696" s="22"/>
      <c r="C696" s="22"/>
      <c r="D696" s="22"/>
      <c r="E696" s="22"/>
      <c r="F696" s="22"/>
      <c r="G696" s="22"/>
      <c r="H696" s="22"/>
      <c r="I696" s="527"/>
      <c r="J696" s="676"/>
    </row>
    <row r="697" spans="1:10" ht="12.75">
      <c r="A697" s="22"/>
      <c r="B697" s="22"/>
      <c r="C697" s="22"/>
      <c r="D697" s="22"/>
      <c r="E697" s="22"/>
      <c r="F697" s="22"/>
      <c r="G697" s="22"/>
      <c r="H697" s="22"/>
      <c r="I697" s="527"/>
      <c r="J697" s="676"/>
    </row>
    <row r="698" spans="1:10" ht="12.75">
      <c r="A698" s="22"/>
      <c r="B698" s="22"/>
      <c r="C698" s="22"/>
      <c r="D698" s="22"/>
      <c r="E698" s="22"/>
      <c r="F698" s="22"/>
      <c r="G698" s="22"/>
      <c r="H698" s="22"/>
      <c r="I698" s="527"/>
      <c r="J698" s="676"/>
    </row>
    <row r="699" spans="1:10" ht="12.75">
      <c r="A699" s="22"/>
      <c r="B699" s="22"/>
      <c r="C699" s="22"/>
      <c r="D699" s="22"/>
      <c r="E699" s="22"/>
      <c r="F699" s="22"/>
      <c r="G699" s="22"/>
      <c r="H699" s="22"/>
      <c r="I699" s="527"/>
      <c r="J699" s="676"/>
    </row>
    <row r="700" spans="1:10" ht="12.75">
      <c r="A700" s="22"/>
      <c r="B700" s="22"/>
      <c r="C700" s="22"/>
      <c r="D700" s="22"/>
      <c r="E700" s="22"/>
      <c r="F700" s="22"/>
      <c r="G700" s="22"/>
      <c r="H700" s="22"/>
      <c r="I700" s="527"/>
      <c r="J700" s="676"/>
    </row>
    <row r="701" spans="1:10" ht="12.75">
      <c r="A701" s="22"/>
      <c r="B701" s="22"/>
      <c r="C701" s="22"/>
      <c r="D701" s="22"/>
      <c r="E701" s="22"/>
      <c r="F701" s="22"/>
      <c r="G701" s="22"/>
      <c r="H701" s="22"/>
      <c r="I701" s="527"/>
      <c r="J701" s="676"/>
    </row>
    <row r="702" spans="1:10" ht="12.75">
      <c r="A702" s="22"/>
      <c r="B702" s="22"/>
      <c r="C702" s="22"/>
      <c r="D702" s="22"/>
      <c r="E702" s="22"/>
      <c r="F702" s="22"/>
      <c r="G702" s="22"/>
      <c r="H702" s="22"/>
      <c r="I702" s="527"/>
      <c r="J702" s="676"/>
    </row>
    <row r="703" spans="1:10" ht="12.75">
      <c r="A703" s="22"/>
      <c r="B703" s="22"/>
      <c r="C703" s="22"/>
      <c r="D703" s="22"/>
      <c r="E703" s="22"/>
      <c r="F703" s="22"/>
      <c r="G703" s="22"/>
      <c r="H703" s="22"/>
      <c r="I703" s="527"/>
      <c r="J703" s="676"/>
    </row>
    <row r="704" spans="1:10" ht="12.75">
      <c r="A704" s="22"/>
      <c r="B704" s="22"/>
      <c r="C704" s="22"/>
      <c r="D704" s="22"/>
      <c r="E704" s="22"/>
      <c r="F704" s="22"/>
      <c r="G704" s="22"/>
      <c r="H704" s="22"/>
      <c r="I704" s="527"/>
      <c r="J704" s="676"/>
    </row>
    <row r="705" spans="9:10" s="22" customFormat="1" ht="12.75">
      <c r="I705" s="527"/>
      <c r="J705" s="676"/>
    </row>
    <row r="706" spans="9:10" s="22" customFormat="1" ht="12.75">
      <c r="I706" s="527"/>
      <c r="J706" s="676"/>
    </row>
    <row r="707" spans="9:10" s="22" customFormat="1" ht="12.75">
      <c r="I707" s="527"/>
      <c r="J707" s="676"/>
    </row>
    <row r="708" spans="9:10" s="22" customFormat="1" ht="12.75">
      <c r="I708" s="527"/>
      <c r="J708" s="676"/>
    </row>
    <row r="709" spans="9:10" s="22" customFormat="1" ht="12.75">
      <c r="I709" s="527"/>
      <c r="J709" s="676"/>
    </row>
    <row r="710" spans="9:10" s="22" customFormat="1" ht="12.75">
      <c r="I710" s="527"/>
      <c r="J710" s="676"/>
    </row>
    <row r="711" spans="9:10" s="22" customFormat="1" ht="12.75">
      <c r="I711" s="527"/>
      <c r="J711" s="676"/>
    </row>
    <row r="712" spans="9:10" s="22" customFormat="1" ht="12.75">
      <c r="I712" s="527"/>
      <c r="J712" s="676"/>
    </row>
    <row r="713" spans="9:10" s="22" customFormat="1" ht="12.75">
      <c r="I713" s="527"/>
      <c r="J713" s="676"/>
    </row>
    <row r="714" spans="9:10" s="22" customFormat="1" ht="12.75">
      <c r="I714" s="527"/>
      <c r="J714" s="676"/>
    </row>
    <row r="715" spans="9:10" s="22" customFormat="1" ht="12.75">
      <c r="I715" s="527"/>
      <c r="J715" s="676"/>
    </row>
    <row r="716" spans="9:10" s="22" customFormat="1" ht="12.75">
      <c r="I716" s="527"/>
      <c r="J716" s="676"/>
    </row>
    <row r="717" spans="9:10" s="22" customFormat="1" ht="12.75">
      <c r="I717" s="527"/>
      <c r="J717" s="676"/>
    </row>
    <row r="718" spans="9:10" s="22" customFormat="1" ht="12.75">
      <c r="I718" s="527"/>
      <c r="J718" s="676"/>
    </row>
    <row r="719" spans="9:10" s="22" customFormat="1" ht="12.75">
      <c r="I719" s="527"/>
      <c r="J719" s="676"/>
    </row>
    <row r="720" spans="9:10" s="22" customFormat="1" ht="12.75">
      <c r="I720" s="527"/>
      <c r="J720" s="676"/>
    </row>
    <row r="721" spans="9:10" s="22" customFormat="1" ht="12.75">
      <c r="I721" s="527"/>
      <c r="J721" s="676"/>
    </row>
    <row r="722" spans="9:10" s="22" customFormat="1" ht="12.75">
      <c r="I722" s="527"/>
      <c r="J722" s="676"/>
    </row>
    <row r="723" spans="9:10" s="22" customFormat="1" ht="12.75">
      <c r="I723" s="527"/>
      <c r="J723" s="676"/>
    </row>
    <row r="724" spans="9:10" s="22" customFormat="1" ht="12.75">
      <c r="I724" s="527"/>
      <c r="J724" s="676"/>
    </row>
    <row r="725" spans="9:10" s="22" customFormat="1" ht="12.75">
      <c r="I725" s="527"/>
      <c r="J725" s="676"/>
    </row>
    <row r="726" spans="9:10" s="22" customFormat="1" ht="12.75">
      <c r="I726" s="527"/>
      <c r="J726" s="676"/>
    </row>
    <row r="727" spans="9:10" s="22" customFormat="1" ht="12.75">
      <c r="I727" s="527"/>
      <c r="J727" s="676"/>
    </row>
    <row r="728" spans="9:10" s="22" customFormat="1" ht="12.75">
      <c r="I728" s="527"/>
      <c r="J728" s="676"/>
    </row>
    <row r="729" spans="9:10" s="22" customFormat="1" ht="12.75">
      <c r="I729" s="527"/>
      <c r="J729" s="676"/>
    </row>
    <row r="730" spans="9:10" s="22" customFormat="1" ht="12.75">
      <c r="I730" s="527"/>
      <c r="J730" s="676"/>
    </row>
    <row r="731" spans="9:10" s="22" customFormat="1" ht="12.75">
      <c r="I731" s="527"/>
      <c r="J731" s="676"/>
    </row>
    <row r="732" spans="9:10" s="22" customFormat="1" ht="12.75">
      <c r="I732" s="527"/>
      <c r="J732" s="676"/>
    </row>
    <row r="733" spans="9:10" s="22" customFormat="1" ht="12.75">
      <c r="I733" s="527"/>
      <c r="J733" s="676"/>
    </row>
    <row r="734" spans="9:10" s="22" customFormat="1" ht="12.75">
      <c r="I734" s="527"/>
      <c r="J734" s="676"/>
    </row>
    <row r="735" spans="9:10" s="22" customFormat="1" ht="12.75">
      <c r="I735" s="527"/>
      <c r="J735" s="676"/>
    </row>
    <row r="736" spans="9:10" s="22" customFormat="1" ht="12.75">
      <c r="I736" s="527"/>
      <c r="J736" s="676"/>
    </row>
    <row r="737" spans="9:10" s="22" customFormat="1" ht="12.75">
      <c r="I737" s="527"/>
      <c r="J737" s="676"/>
    </row>
    <row r="738" spans="9:10" s="22" customFormat="1" ht="12.75">
      <c r="I738" s="527"/>
      <c r="J738" s="676"/>
    </row>
    <row r="739" spans="9:10" s="22" customFormat="1" ht="12.75">
      <c r="I739" s="527"/>
      <c r="J739" s="676"/>
    </row>
    <row r="740" spans="9:10" s="22" customFormat="1" ht="12.75">
      <c r="I740" s="527"/>
      <c r="J740" s="676"/>
    </row>
    <row r="741" spans="9:10" s="22" customFormat="1" ht="12.75">
      <c r="I741" s="527"/>
      <c r="J741" s="676"/>
    </row>
    <row r="742" spans="9:10" s="22" customFormat="1" ht="12.75">
      <c r="I742" s="527"/>
      <c r="J742" s="676"/>
    </row>
    <row r="743" spans="9:10" s="22" customFormat="1" ht="12.75">
      <c r="I743" s="527"/>
      <c r="J743" s="676"/>
    </row>
    <row r="744" spans="9:10" s="22" customFormat="1" ht="12.75">
      <c r="I744" s="527"/>
      <c r="J744" s="676"/>
    </row>
    <row r="745" spans="9:10" s="22" customFormat="1" ht="12.75">
      <c r="I745" s="527"/>
      <c r="J745" s="676"/>
    </row>
    <row r="746" spans="9:10" s="22" customFormat="1" ht="12.75">
      <c r="I746" s="527"/>
      <c r="J746" s="676"/>
    </row>
    <row r="747" spans="9:10" s="22" customFormat="1" ht="12.75">
      <c r="I747" s="527"/>
      <c r="J747" s="676"/>
    </row>
    <row r="748" spans="9:10" s="22" customFormat="1" ht="12.75">
      <c r="I748" s="527"/>
      <c r="J748" s="676"/>
    </row>
    <row r="749" spans="9:10" s="22" customFormat="1" ht="12.75">
      <c r="I749" s="527"/>
      <c r="J749" s="676"/>
    </row>
    <row r="750" spans="9:10" s="22" customFormat="1" ht="12.75">
      <c r="I750" s="527"/>
      <c r="J750" s="676"/>
    </row>
    <row r="751" spans="9:10" s="22" customFormat="1" ht="12.75">
      <c r="I751" s="527"/>
      <c r="J751" s="676"/>
    </row>
    <row r="752" spans="9:10" s="22" customFormat="1" ht="12.75">
      <c r="I752" s="527"/>
      <c r="J752" s="676"/>
    </row>
    <row r="753" spans="9:10" s="22" customFormat="1" ht="12.75">
      <c r="I753" s="527"/>
      <c r="J753" s="676"/>
    </row>
    <row r="754" spans="9:10" s="22" customFormat="1" ht="12.75">
      <c r="I754" s="527"/>
      <c r="J754" s="676"/>
    </row>
    <row r="755" spans="9:10" s="22" customFormat="1" ht="12.75">
      <c r="I755" s="527"/>
      <c r="J755" s="676"/>
    </row>
    <row r="756" spans="9:10" s="22" customFormat="1" ht="12.75">
      <c r="I756" s="527"/>
      <c r="J756" s="676"/>
    </row>
    <row r="757" spans="9:10" s="22" customFormat="1" ht="12.75">
      <c r="I757" s="527"/>
      <c r="J757" s="676"/>
    </row>
    <row r="758" spans="9:10" s="22" customFormat="1" ht="12.75">
      <c r="I758" s="527"/>
      <c r="J758" s="676"/>
    </row>
    <row r="759" spans="9:10" s="22" customFormat="1" ht="12.75">
      <c r="I759" s="527"/>
      <c r="J759" s="676"/>
    </row>
    <row r="760" spans="9:10" s="22" customFormat="1" ht="12.75">
      <c r="I760" s="527"/>
      <c r="J760" s="676"/>
    </row>
    <row r="761" spans="9:10" s="22" customFormat="1" ht="12.75">
      <c r="I761" s="527"/>
      <c r="J761" s="676"/>
    </row>
    <row r="762" spans="9:10" s="22" customFormat="1" ht="12.75">
      <c r="I762" s="527"/>
      <c r="J762" s="676"/>
    </row>
    <row r="763" spans="9:10" s="22" customFormat="1" ht="12.75">
      <c r="I763" s="527"/>
      <c r="J763" s="676"/>
    </row>
    <row r="764" spans="9:10" s="22" customFormat="1" ht="12.75">
      <c r="I764" s="527"/>
      <c r="J764" s="676"/>
    </row>
    <row r="765" spans="9:10" s="22" customFormat="1" ht="12.75">
      <c r="I765" s="527"/>
      <c r="J765" s="676"/>
    </row>
    <row r="766" spans="9:10" s="22" customFormat="1" ht="12.75">
      <c r="I766" s="527"/>
      <c r="J766" s="676"/>
    </row>
    <row r="767" spans="9:10" s="22" customFormat="1" ht="12.75">
      <c r="I767" s="527"/>
      <c r="J767" s="676"/>
    </row>
    <row r="768" spans="9:10" s="22" customFormat="1" ht="12.75">
      <c r="I768" s="527"/>
      <c r="J768" s="676"/>
    </row>
    <row r="769" spans="9:10" s="22" customFormat="1" ht="12.75">
      <c r="I769" s="527"/>
      <c r="J769" s="676"/>
    </row>
    <row r="770" spans="9:10" s="22" customFormat="1" ht="12.75">
      <c r="I770" s="527"/>
      <c r="J770" s="676"/>
    </row>
    <row r="771" spans="9:10" s="22" customFormat="1" ht="12.75">
      <c r="I771" s="527"/>
      <c r="J771" s="676"/>
    </row>
    <row r="772" spans="9:10" s="22" customFormat="1" ht="12.75">
      <c r="I772" s="527"/>
      <c r="J772" s="676"/>
    </row>
    <row r="773" spans="9:10" s="22" customFormat="1" ht="12.75">
      <c r="I773" s="527"/>
      <c r="J773" s="676"/>
    </row>
    <row r="774" spans="9:10" s="22" customFormat="1" ht="12.75">
      <c r="I774" s="527"/>
      <c r="J774" s="676"/>
    </row>
    <row r="775" spans="9:10" s="22" customFormat="1" ht="12.75">
      <c r="I775" s="527"/>
      <c r="J775" s="676"/>
    </row>
    <row r="776" spans="9:10" s="22" customFormat="1" ht="12.75">
      <c r="I776" s="527"/>
      <c r="J776" s="676"/>
    </row>
    <row r="777" spans="9:10" s="22" customFormat="1" ht="12.75">
      <c r="I777" s="527"/>
      <c r="J777" s="676"/>
    </row>
    <row r="778" spans="9:10" s="22" customFormat="1" ht="12.75">
      <c r="I778" s="527"/>
      <c r="J778" s="676"/>
    </row>
    <row r="779" spans="9:10" s="22" customFormat="1" ht="12.75">
      <c r="I779" s="527"/>
      <c r="J779" s="676"/>
    </row>
    <row r="780" spans="9:10" s="22" customFormat="1" ht="12.75">
      <c r="I780" s="527"/>
      <c r="J780" s="676"/>
    </row>
    <row r="781" spans="9:10" s="22" customFormat="1" ht="12.75">
      <c r="I781" s="527"/>
      <c r="J781" s="676"/>
    </row>
    <row r="782" spans="9:10" s="22" customFormat="1" ht="12.75">
      <c r="I782" s="527"/>
      <c r="J782" s="676"/>
    </row>
    <row r="783" spans="9:10" s="22" customFormat="1" ht="12.75">
      <c r="I783" s="527"/>
      <c r="J783" s="676"/>
    </row>
    <row r="784" spans="9:10" s="22" customFormat="1" ht="12.75">
      <c r="I784" s="527"/>
      <c r="J784" s="676"/>
    </row>
    <row r="785" spans="9:10" s="22" customFormat="1" ht="12.75">
      <c r="I785" s="527"/>
      <c r="J785" s="676"/>
    </row>
    <row r="786" spans="9:10" s="22" customFormat="1" ht="12.75">
      <c r="I786" s="527"/>
      <c r="J786" s="676"/>
    </row>
    <row r="787" spans="9:10" s="22" customFormat="1" ht="12.75">
      <c r="I787" s="527"/>
      <c r="J787" s="676"/>
    </row>
    <row r="788" spans="9:10" s="22" customFormat="1" ht="12.75">
      <c r="I788" s="527"/>
      <c r="J788" s="676"/>
    </row>
    <row r="789" spans="9:10" s="22" customFormat="1" ht="12.75">
      <c r="I789" s="527"/>
      <c r="J789" s="676"/>
    </row>
    <row r="790" spans="9:10" s="22" customFormat="1" ht="12.75">
      <c r="I790" s="527"/>
      <c r="J790" s="676"/>
    </row>
    <row r="791" spans="9:10" s="22" customFormat="1" ht="12.75">
      <c r="I791" s="527"/>
      <c r="J791" s="676"/>
    </row>
    <row r="792" spans="9:10" s="22" customFormat="1" ht="12.75">
      <c r="I792" s="527"/>
      <c r="J792" s="676"/>
    </row>
    <row r="793" spans="9:10" s="22" customFormat="1" ht="12.75">
      <c r="I793" s="527"/>
      <c r="J793" s="676"/>
    </row>
    <row r="794" spans="9:10" s="22" customFormat="1" ht="12.75">
      <c r="I794" s="527"/>
      <c r="J794" s="676"/>
    </row>
    <row r="795" spans="9:10" s="22" customFormat="1" ht="12.75">
      <c r="I795" s="527"/>
      <c r="J795" s="676"/>
    </row>
    <row r="796" spans="9:10" s="22" customFormat="1" ht="12.75">
      <c r="I796" s="527"/>
      <c r="J796" s="676"/>
    </row>
    <row r="797" spans="9:10" s="22" customFormat="1" ht="12.75">
      <c r="I797" s="527"/>
      <c r="J797" s="676"/>
    </row>
    <row r="798" spans="9:10" s="22" customFormat="1" ht="12.75">
      <c r="I798" s="527"/>
      <c r="J798" s="676"/>
    </row>
    <row r="799" spans="9:10" s="22" customFormat="1" ht="12.75">
      <c r="I799" s="527"/>
      <c r="J799" s="676"/>
    </row>
    <row r="800" spans="9:10" s="22" customFormat="1" ht="12.75">
      <c r="I800" s="527"/>
      <c r="J800" s="676"/>
    </row>
    <row r="801" spans="9:10" s="22" customFormat="1" ht="12.75">
      <c r="I801" s="527"/>
      <c r="J801" s="676"/>
    </row>
    <row r="802" spans="9:10" s="22" customFormat="1" ht="12.75">
      <c r="I802" s="527"/>
      <c r="J802" s="676"/>
    </row>
    <row r="803" spans="9:10" s="22" customFormat="1" ht="12.75">
      <c r="I803" s="527"/>
      <c r="J803" s="676"/>
    </row>
    <row r="804" spans="9:10" s="22" customFormat="1" ht="12.75">
      <c r="I804" s="527"/>
      <c r="J804" s="676"/>
    </row>
    <row r="805" spans="9:10" s="22" customFormat="1" ht="12.75">
      <c r="I805" s="527"/>
      <c r="J805" s="676"/>
    </row>
  </sheetData>
  <sheetProtection password="CC08"/>
  <mergeCells count="4">
    <mergeCell ref="C220:F220"/>
    <mergeCell ref="C217:F217"/>
    <mergeCell ref="C153:F153"/>
    <mergeCell ref="C156:F156"/>
  </mergeCells>
  <printOptions horizontalCentered="1"/>
  <pageMargins left="0.7874015748031497" right="0.7874015748031497" top="0.5905511811023623" bottom="0.5905511811023623" header="0.5118110236220472" footer="0.11811023622047245"/>
  <pageSetup horizontalDpi="300" verticalDpi="300" orientation="portrait" paperSize="9" r:id="rId1"/>
  <headerFooter alignWithMargins="0">
    <oddHeader>&amp;C&amp;"Times New Roman CE,Normál"&amp;P&amp;R&amp;"Times New Roman CE,Normál"4/a.számú melléklet
</oddHeader>
    <oddFooter>&amp;L&amp;"Times New Roman CE,Normál"&amp;8&amp;F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G1" sqref="G1:AB16384"/>
    </sheetView>
  </sheetViews>
  <sheetFormatPr defaultColWidth="9.140625" defaultRowHeight="12.75"/>
  <cols>
    <col min="1" max="1" width="5.28125" style="0" customWidth="1"/>
    <col min="2" max="2" width="38.421875" style="0" customWidth="1"/>
    <col min="3" max="4" width="11.28125" style="0" customWidth="1"/>
    <col min="5" max="5" width="9.7109375" style="0" customWidth="1"/>
    <col min="6" max="6" width="12.7109375" style="424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80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81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81"/>
    </row>
    <row r="6" spans="1:6" s="604" customFormat="1" ht="13.5" customHeight="1">
      <c r="A6" s="606"/>
      <c r="B6" s="606"/>
      <c r="C6" s="607"/>
      <c r="D6" s="607"/>
      <c r="E6" s="607"/>
      <c r="F6" s="681"/>
    </row>
    <row r="7" spans="1:6" ht="12.75" customHeight="1">
      <c r="A7" s="68"/>
      <c r="B7" s="68"/>
      <c r="C7" s="144"/>
      <c r="D7" s="144"/>
      <c r="E7" s="144"/>
      <c r="F7" s="682"/>
    </row>
    <row r="8" spans="1:6" ht="15.75">
      <c r="A8" s="608" t="s">
        <v>340</v>
      </c>
      <c r="C8" s="26"/>
      <c r="D8" s="26"/>
      <c r="E8" s="512"/>
      <c r="F8" s="621" t="s">
        <v>524</v>
      </c>
    </row>
    <row r="9" spans="1:6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683"/>
    </row>
    <row r="12" spans="1:6" ht="11.25" customHeight="1">
      <c r="A12" s="150" t="s">
        <v>247</v>
      </c>
      <c r="B12" s="151" t="s">
        <v>60</v>
      </c>
      <c r="C12" s="59">
        <v>0</v>
      </c>
      <c r="D12" s="59">
        <v>0</v>
      </c>
      <c r="E12" s="59">
        <v>0</v>
      </c>
      <c r="F12" s="660">
        <f aca="true" t="shared" si="0" ref="F12:F29">SUM(D12:E12)</f>
        <v>0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0</v>
      </c>
      <c r="E13" s="59">
        <f>SUM(E14:E16)</f>
        <v>0</v>
      </c>
      <c r="F13" s="660">
        <f t="shared" si="0"/>
        <v>0</v>
      </c>
    </row>
    <row r="14" spans="1:6" ht="11.25" customHeight="1">
      <c r="A14" s="152"/>
      <c r="B14" s="154" t="s">
        <v>375</v>
      </c>
      <c r="C14" s="59">
        <v>0</v>
      </c>
      <c r="D14" s="59">
        <v>0</v>
      </c>
      <c r="E14" s="59">
        <v>0</v>
      </c>
      <c r="F14" s="660">
        <f t="shared" si="0"/>
        <v>0</v>
      </c>
    </row>
    <row r="15" spans="1:6" ht="11.25" customHeight="1">
      <c r="A15" s="152"/>
      <c r="B15" s="154" t="s">
        <v>212</v>
      </c>
      <c r="C15" s="59">
        <v>0</v>
      </c>
      <c r="D15" s="59">
        <v>0</v>
      </c>
      <c r="E15" s="59">
        <v>0</v>
      </c>
      <c r="F15" s="660">
        <f t="shared" si="0"/>
        <v>0</v>
      </c>
    </row>
    <row r="16" spans="1:6" ht="11.25" customHeight="1">
      <c r="A16" s="152"/>
      <c r="B16" s="154" t="s">
        <v>213</v>
      </c>
      <c r="C16" s="59">
        <v>0</v>
      </c>
      <c r="D16" s="59">
        <v>0</v>
      </c>
      <c r="E16" s="59">
        <v>0</v>
      </c>
      <c r="F16" s="660">
        <f t="shared" si="0"/>
        <v>0</v>
      </c>
    </row>
    <row r="17" spans="1:6" ht="11.25" customHeight="1">
      <c r="A17" s="152" t="s">
        <v>249</v>
      </c>
      <c r="B17" s="153" t="s">
        <v>62</v>
      </c>
      <c r="C17" s="59">
        <v>886</v>
      </c>
      <c r="D17" s="59">
        <v>2096</v>
      </c>
      <c r="E17" s="59">
        <v>20</v>
      </c>
      <c r="F17" s="660">
        <f t="shared" si="0"/>
        <v>2116</v>
      </c>
    </row>
    <row r="18" spans="1:6" ht="23.25" customHeight="1">
      <c r="A18" s="150" t="s">
        <v>95</v>
      </c>
      <c r="B18" s="155" t="s">
        <v>488</v>
      </c>
      <c r="C18" s="59">
        <f>SUM(C19:C20)</f>
        <v>500</v>
      </c>
      <c r="D18" s="59">
        <f>SUM(D19:D20)</f>
        <v>1100</v>
      </c>
      <c r="E18" s="59">
        <f>SUM(E19:E20)</f>
        <v>590</v>
      </c>
      <c r="F18" s="660">
        <f t="shared" si="0"/>
        <v>1690</v>
      </c>
    </row>
    <row r="19" spans="1:6" ht="11.25" customHeight="1">
      <c r="A19" s="150"/>
      <c r="B19" s="616" t="s">
        <v>466</v>
      </c>
      <c r="C19" s="59">
        <v>100</v>
      </c>
      <c r="D19" s="59">
        <v>100</v>
      </c>
      <c r="E19" s="59">
        <v>0</v>
      </c>
      <c r="F19" s="660">
        <f t="shared" si="0"/>
        <v>100</v>
      </c>
    </row>
    <row r="20" spans="1:6" ht="23.25" customHeight="1">
      <c r="A20" s="150"/>
      <c r="B20" s="616" t="s">
        <v>489</v>
      </c>
      <c r="C20" s="59">
        <v>400</v>
      </c>
      <c r="D20" s="59">
        <v>1000</v>
      </c>
      <c r="E20" s="59">
        <v>590</v>
      </c>
      <c r="F20" s="660">
        <f t="shared" si="0"/>
        <v>1590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3196</v>
      </c>
      <c r="E22" s="60">
        <f>SUM(E12,E13,E17,E18,E21)</f>
        <v>610</v>
      </c>
      <c r="F22" s="661">
        <f t="shared" si="0"/>
        <v>3806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3196</v>
      </c>
      <c r="E29" s="118">
        <f>SUM(E22,E28)</f>
        <v>610</v>
      </c>
      <c r="F29" s="662">
        <f t="shared" si="0"/>
        <v>3806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1003</v>
      </c>
      <c r="E31" s="59">
        <v>610</v>
      </c>
      <c r="F31" s="660">
        <f aca="true" t="shared" si="1" ref="F31:F39">SUM(D31:E31)</f>
        <v>1613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0</v>
      </c>
      <c r="F34" s="660">
        <f t="shared" si="1"/>
        <v>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1553</v>
      </c>
      <c r="E38" s="59">
        <v>0</v>
      </c>
      <c r="F38" s="660">
        <f t="shared" si="1"/>
        <v>1553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3196</v>
      </c>
      <c r="E39" s="118">
        <f>SUM(E31:E38)</f>
        <v>610</v>
      </c>
      <c r="F39" s="662">
        <f t="shared" si="1"/>
        <v>3806</v>
      </c>
    </row>
    <row r="40" spans="1:6" ht="15" customHeight="1">
      <c r="A40" s="162"/>
      <c r="B40" s="162"/>
      <c r="C40" s="613"/>
      <c r="D40" s="613"/>
      <c r="E40" s="613"/>
      <c r="F40" s="68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38.421875" style="0" customWidth="1"/>
    <col min="3" max="4" width="11.28125" style="0" customWidth="1"/>
    <col min="6" max="6" width="11.421875" style="183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03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07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07"/>
    </row>
    <row r="6" spans="1:6" s="604" customFormat="1" ht="13.5" customHeight="1">
      <c r="A6" s="606"/>
      <c r="B6" s="606"/>
      <c r="C6" s="607"/>
      <c r="D6" s="607"/>
      <c r="E6" s="607"/>
      <c r="F6" s="607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223</v>
      </c>
      <c r="C8" s="26"/>
      <c r="D8" s="26"/>
      <c r="E8" s="512"/>
      <c r="F8" s="621" t="s">
        <v>524</v>
      </c>
    </row>
    <row r="9" spans="1:6" s="687" customFormat="1" ht="36.75" customHeight="1">
      <c r="A9" s="609" t="s">
        <v>274</v>
      </c>
      <c r="B9" s="610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1031</v>
      </c>
      <c r="D12" s="59">
        <v>1222</v>
      </c>
      <c r="E12" s="59">
        <v>2229</v>
      </c>
      <c r="F12" s="660">
        <f aca="true" t="shared" si="0" ref="F12:F29">SUM(D12:E12)</f>
        <v>3451</v>
      </c>
    </row>
    <row r="13" spans="1:6" ht="11.25" customHeight="1">
      <c r="A13" s="152" t="s">
        <v>248</v>
      </c>
      <c r="B13" s="153" t="s">
        <v>61</v>
      </c>
      <c r="C13" s="59">
        <f>SUM(C14:C16)</f>
        <v>355</v>
      </c>
      <c r="D13" s="59">
        <f>SUM(D14:D16)</f>
        <v>422</v>
      </c>
      <c r="E13" s="59">
        <f>SUM(E14:E16)</f>
        <v>784</v>
      </c>
      <c r="F13" s="660">
        <f t="shared" si="0"/>
        <v>1206</v>
      </c>
    </row>
    <row r="14" spans="1:6" ht="11.25" customHeight="1">
      <c r="A14" s="152"/>
      <c r="B14" s="154" t="s">
        <v>375</v>
      </c>
      <c r="C14" s="59">
        <v>299</v>
      </c>
      <c r="D14" s="59">
        <v>356</v>
      </c>
      <c r="E14" s="59">
        <v>647</v>
      </c>
      <c r="F14" s="660">
        <f t="shared" si="0"/>
        <v>1003</v>
      </c>
    </row>
    <row r="15" spans="1:6" ht="11.25" customHeight="1">
      <c r="A15" s="152"/>
      <c r="B15" s="154" t="s">
        <v>212</v>
      </c>
      <c r="C15" s="59">
        <v>31</v>
      </c>
      <c r="D15" s="59">
        <v>37</v>
      </c>
      <c r="E15" s="59">
        <v>67</v>
      </c>
      <c r="F15" s="660">
        <f t="shared" si="0"/>
        <v>104</v>
      </c>
    </row>
    <row r="16" spans="1:6" ht="11.25" customHeight="1">
      <c r="A16" s="152"/>
      <c r="B16" s="154" t="s">
        <v>213</v>
      </c>
      <c r="C16" s="59">
        <v>25</v>
      </c>
      <c r="D16" s="59">
        <v>29</v>
      </c>
      <c r="E16" s="59">
        <v>70</v>
      </c>
      <c r="F16" s="660">
        <f t="shared" si="0"/>
        <v>99</v>
      </c>
    </row>
    <row r="17" spans="1:6" ht="11.25" customHeight="1">
      <c r="A17" s="152" t="s">
        <v>249</v>
      </c>
      <c r="B17" s="153" t="s">
        <v>62</v>
      </c>
      <c r="C17" s="59">
        <v>0</v>
      </c>
      <c r="D17" s="59">
        <v>1600</v>
      </c>
      <c r="E17" s="59">
        <v>0</v>
      </c>
      <c r="F17" s="660">
        <f t="shared" si="0"/>
        <v>1600</v>
      </c>
    </row>
    <row r="18" spans="1:6" ht="23.25" customHeight="1">
      <c r="A18" s="150" t="s">
        <v>95</v>
      </c>
      <c r="B18" s="155" t="s">
        <v>488</v>
      </c>
      <c r="C18" s="59">
        <f>SUM(C19:C20)</f>
        <v>0</v>
      </c>
      <c r="D18" s="59">
        <f>SUM(D19:D20)</f>
        <v>0</v>
      </c>
      <c r="E18" s="59">
        <f>SUM(E19:E20)</f>
        <v>0</v>
      </c>
      <c r="F18" s="660">
        <f t="shared" si="0"/>
        <v>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0</v>
      </c>
      <c r="D20" s="59">
        <v>0</v>
      </c>
      <c r="E20" s="59">
        <v>0</v>
      </c>
      <c r="F20" s="660">
        <f t="shared" si="0"/>
        <v>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3244</v>
      </c>
      <c r="E22" s="60">
        <f>SUM(E12,E13,E17,E18,E21)</f>
        <v>3013</v>
      </c>
      <c r="F22" s="661">
        <f t="shared" si="0"/>
        <v>6257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3244</v>
      </c>
      <c r="E29" s="118">
        <f>SUM(E22,E28)</f>
        <v>3013</v>
      </c>
      <c r="F29" s="662">
        <f t="shared" si="0"/>
        <v>6257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2003</v>
      </c>
      <c r="E31" s="59">
        <v>0</v>
      </c>
      <c r="F31" s="660">
        <f aca="true" t="shared" si="1" ref="F31:F39">SUM(D31:E31)</f>
        <v>2003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3013</v>
      </c>
      <c r="F34" s="660">
        <f t="shared" si="1"/>
        <v>3013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601</v>
      </c>
      <c r="E38" s="59">
        <v>0</v>
      </c>
      <c r="F38" s="660">
        <f t="shared" si="1"/>
        <v>601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3244</v>
      </c>
      <c r="E39" s="118">
        <f>SUM(E31:E38)</f>
        <v>3013</v>
      </c>
      <c r="F39" s="662">
        <f t="shared" si="1"/>
        <v>6257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93"/>
  <sheetViews>
    <sheetView workbookViewId="0" topLeftCell="A67">
      <selection activeCell="C47" sqref="C47"/>
    </sheetView>
  </sheetViews>
  <sheetFormatPr defaultColWidth="9.140625" defaultRowHeight="12.75"/>
  <cols>
    <col min="1" max="1" width="2.8515625" style="26" customWidth="1"/>
    <col min="2" max="2" width="32.28125" style="26" customWidth="1"/>
    <col min="3" max="3" width="31.421875" style="26" customWidth="1"/>
    <col min="4" max="4" width="8.00390625" style="0" customWidth="1"/>
    <col min="5" max="5" width="9.7109375" style="0" customWidth="1"/>
    <col min="6" max="6" width="7.28125" style="0" customWidth="1"/>
    <col min="7" max="7" width="9.57421875" style="635" customWidth="1"/>
  </cols>
  <sheetData>
    <row r="2" spans="1:7" ht="15" customHeight="1">
      <c r="A2" s="921" t="s">
        <v>273</v>
      </c>
      <c r="B2" s="921"/>
      <c r="C2" s="921"/>
      <c r="D2" s="921"/>
      <c r="E2" s="921"/>
      <c r="F2" s="921"/>
      <c r="G2" s="921"/>
    </row>
    <row r="3" spans="1:7" ht="15" customHeight="1">
      <c r="A3" s="921" t="s">
        <v>162</v>
      </c>
      <c r="B3" s="921"/>
      <c r="C3" s="921"/>
      <c r="D3" s="921"/>
      <c r="E3" s="921"/>
      <c r="F3" s="921"/>
      <c r="G3" s="921"/>
    </row>
    <row r="4" spans="1:3" ht="15" customHeight="1">
      <c r="A4" s="25"/>
      <c r="B4" s="25"/>
      <c r="C4" s="25"/>
    </row>
    <row r="5" spans="4:7" ht="12.75">
      <c r="D5" s="26"/>
      <c r="E5" s="26"/>
      <c r="F5" s="512"/>
      <c r="G5" s="636" t="s">
        <v>524</v>
      </c>
    </row>
    <row r="6" spans="1:7" s="628" customFormat="1" ht="39.75" customHeight="1">
      <c r="A6" s="623" t="s">
        <v>174</v>
      </c>
      <c r="B6" s="624" t="s">
        <v>241</v>
      </c>
      <c r="C6" s="625" t="s">
        <v>227</v>
      </c>
      <c r="D6" s="626" t="s">
        <v>50</v>
      </c>
      <c r="E6" s="714" t="s">
        <v>636</v>
      </c>
      <c r="F6" s="715" t="s">
        <v>541</v>
      </c>
      <c r="G6" s="714" t="s">
        <v>679</v>
      </c>
    </row>
    <row r="7" spans="1:7" s="333" customFormat="1" ht="9.75" customHeight="1">
      <c r="A7" s="717" t="s">
        <v>247</v>
      </c>
      <c r="B7" s="718" t="s">
        <v>248</v>
      </c>
      <c r="C7" s="716" t="s">
        <v>249</v>
      </c>
      <c r="D7" s="716" t="s">
        <v>95</v>
      </c>
      <c r="E7" s="716" t="s">
        <v>96</v>
      </c>
      <c r="F7" s="716" t="s">
        <v>97</v>
      </c>
      <c r="G7" s="716" t="s">
        <v>98</v>
      </c>
    </row>
    <row r="8" spans="1:7" s="407" customFormat="1" ht="25.5" customHeight="1">
      <c r="A8" s="364" t="s">
        <v>486</v>
      </c>
      <c r="B8" s="565" t="s">
        <v>205</v>
      </c>
      <c r="C8" s="379"/>
      <c r="D8" s="463"/>
      <c r="E8" s="463"/>
      <c r="F8" s="463"/>
      <c r="G8" s="639"/>
    </row>
    <row r="9" spans="1:7" s="407" customFormat="1" ht="12.75" customHeight="1">
      <c r="A9" s="364"/>
      <c r="B9" s="566" t="s">
        <v>128</v>
      </c>
      <c r="C9" s="379"/>
      <c r="D9" s="463"/>
      <c r="E9" s="463"/>
      <c r="F9" s="463"/>
      <c r="G9" s="639"/>
    </row>
    <row r="10" spans="1:7" s="441" customFormat="1" ht="12">
      <c r="A10" s="411" t="s">
        <v>247</v>
      </c>
      <c r="B10" s="567" t="s">
        <v>434</v>
      </c>
      <c r="C10" s="629" t="s">
        <v>319</v>
      </c>
      <c r="D10" s="437">
        <v>76770</v>
      </c>
      <c r="E10" s="437">
        <v>76770</v>
      </c>
      <c r="F10" s="437">
        <v>0</v>
      </c>
      <c r="G10" s="640">
        <f>SUM(E10:F10)</f>
        <v>76770</v>
      </c>
    </row>
    <row r="11" spans="1:7" s="441" customFormat="1" ht="24">
      <c r="A11" s="411" t="s">
        <v>248</v>
      </c>
      <c r="B11" s="567" t="s">
        <v>434</v>
      </c>
      <c r="C11" s="438" t="s">
        <v>674</v>
      </c>
      <c r="D11" s="437">
        <v>13061</v>
      </c>
      <c r="E11" s="437">
        <v>13061</v>
      </c>
      <c r="F11" s="437">
        <v>1270</v>
      </c>
      <c r="G11" s="640">
        <f aca="true" t="shared" si="0" ref="G11:G24">SUM(E11:F11)</f>
        <v>14331</v>
      </c>
    </row>
    <row r="12" spans="1:7" s="441" customFormat="1" ht="24">
      <c r="A12" s="411" t="s">
        <v>249</v>
      </c>
      <c r="B12" s="586" t="s">
        <v>310</v>
      </c>
      <c r="C12" s="629" t="s">
        <v>311</v>
      </c>
      <c r="D12" s="437">
        <v>1990</v>
      </c>
      <c r="E12" s="437">
        <v>1990</v>
      </c>
      <c r="F12" s="437">
        <v>0</v>
      </c>
      <c r="G12" s="640">
        <f t="shared" si="0"/>
        <v>1990</v>
      </c>
    </row>
    <row r="13" spans="1:7" s="441" customFormat="1" ht="12">
      <c r="A13" s="411" t="s">
        <v>95</v>
      </c>
      <c r="B13" s="586" t="s">
        <v>550</v>
      </c>
      <c r="C13" s="629" t="s">
        <v>551</v>
      </c>
      <c r="D13" s="437">
        <v>0</v>
      </c>
      <c r="E13" s="437">
        <v>1534</v>
      </c>
      <c r="F13" s="437">
        <v>966</v>
      </c>
      <c r="G13" s="640">
        <f t="shared" si="0"/>
        <v>2500</v>
      </c>
    </row>
    <row r="14" spans="1:7" s="441" customFormat="1" ht="24">
      <c r="A14" s="411" t="s">
        <v>96</v>
      </c>
      <c r="B14" s="586" t="s">
        <v>552</v>
      </c>
      <c r="C14" s="438" t="s">
        <v>582</v>
      </c>
      <c r="D14" s="437">
        <v>0</v>
      </c>
      <c r="E14" s="437">
        <v>1050</v>
      </c>
      <c r="F14" s="437">
        <v>3343</v>
      </c>
      <c r="G14" s="640">
        <f t="shared" si="0"/>
        <v>4393</v>
      </c>
    </row>
    <row r="15" spans="1:7" s="441" customFormat="1" ht="12">
      <c r="A15" s="411" t="s">
        <v>97</v>
      </c>
      <c r="B15" s="586" t="s">
        <v>611</v>
      </c>
      <c r="C15" s="629" t="s">
        <v>612</v>
      </c>
      <c r="D15" s="437">
        <v>0</v>
      </c>
      <c r="E15" s="437">
        <v>2595</v>
      </c>
      <c r="F15" s="437">
        <v>3684</v>
      </c>
      <c r="G15" s="640">
        <f t="shared" si="0"/>
        <v>6279</v>
      </c>
    </row>
    <row r="16" spans="1:7" s="441" customFormat="1" ht="12">
      <c r="A16" s="411" t="s">
        <v>98</v>
      </c>
      <c r="B16" s="586" t="s">
        <v>553</v>
      </c>
      <c r="C16" s="629" t="s">
        <v>554</v>
      </c>
      <c r="D16" s="437">
        <v>0</v>
      </c>
      <c r="E16" s="437">
        <v>459</v>
      </c>
      <c r="F16" s="437">
        <v>0</v>
      </c>
      <c r="G16" s="640">
        <f t="shared" si="0"/>
        <v>459</v>
      </c>
    </row>
    <row r="17" spans="1:7" s="441" customFormat="1" ht="12">
      <c r="A17" s="411" t="s">
        <v>99</v>
      </c>
      <c r="B17" s="586" t="s">
        <v>555</v>
      </c>
      <c r="C17" s="629" t="s">
        <v>613</v>
      </c>
      <c r="D17" s="437">
        <v>0</v>
      </c>
      <c r="E17" s="437">
        <v>1683</v>
      </c>
      <c r="F17" s="437">
        <v>0</v>
      </c>
      <c r="G17" s="640">
        <f t="shared" si="0"/>
        <v>1683</v>
      </c>
    </row>
    <row r="18" spans="1:7" s="441" customFormat="1" ht="12">
      <c r="A18" s="411" t="s">
        <v>100</v>
      </c>
      <c r="B18" s="586" t="s">
        <v>434</v>
      </c>
      <c r="C18" s="629" t="s">
        <v>556</v>
      </c>
      <c r="D18" s="437">
        <v>0</v>
      </c>
      <c r="E18" s="437">
        <v>9635</v>
      </c>
      <c r="F18" s="437">
        <v>0</v>
      </c>
      <c r="G18" s="640">
        <f t="shared" si="0"/>
        <v>9635</v>
      </c>
    </row>
    <row r="19" spans="1:7" s="441" customFormat="1" ht="12">
      <c r="A19" s="411" t="s">
        <v>101</v>
      </c>
      <c r="B19" s="586" t="s">
        <v>641</v>
      </c>
      <c r="C19" s="629" t="s">
        <v>642</v>
      </c>
      <c r="D19" s="437">
        <v>0</v>
      </c>
      <c r="E19" s="437">
        <v>0</v>
      </c>
      <c r="F19" s="437">
        <v>190</v>
      </c>
      <c r="G19" s="640">
        <f t="shared" si="0"/>
        <v>190</v>
      </c>
    </row>
    <row r="20" spans="1:7" s="441" customFormat="1" ht="24">
      <c r="A20" s="411" t="s">
        <v>102</v>
      </c>
      <c r="B20" s="586" t="s">
        <v>558</v>
      </c>
      <c r="C20" s="438" t="s">
        <v>673</v>
      </c>
      <c r="D20" s="437">
        <v>0</v>
      </c>
      <c r="E20" s="437">
        <v>0</v>
      </c>
      <c r="F20" s="437">
        <v>3013</v>
      </c>
      <c r="G20" s="640">
        <f t="shared" si="0"/>
        <v>3013</v>
      </c>
    </row>
    <row r="21" spans="1:7" s="441" customFormat="1" ht="12">
      <c r="A21" s="411" t="s">
        <v>103</v>
      </c>
      <c r="B21" s="586" t="s">
        <v>434</v>
      </c>
      <c r="C21" s="629" t="s">
        <v>643</v>
      </c>
      <c r="D21" s="437">
        <v>0</v>
      </c>
      <c r="E21" s="437">
        <v>0</v>
      </c>
      <c r="F21" s="437">
        <v>1892</v>
      </c>
      <c r="G21" s="640">
        <f t="shared" si="0"/>
        <v>1892</v>
      </c>
    </row>
    <row r="22" spans="1:7" s="441" customFormat="1" ht="12">
      <c r="A22" s="411" t="s">
        <v>104</v>
      </c>
      <c r="B22" s="586" t="s">
        <v>434</v>
      </c>
      <c r="C22" s="629" t="s">
        <v>644</v>
      </c>
      <c r="D22" s="437">
        <v>0</v>
      </c>
      <c r="E22" s="437">
        <v>0</v>
      </c>
      <c r="F22" s="437">
        <v>3000</v>
      </c>
      <c r="G22" s="640">
        <f t="shared" si="0"/>
        <v>3000</v>
      </c>
    </row>
    <row r="23" spans="1:7" s="441" customFormat="1" ht="36">
      <c r="A23" s="411" t="s">
        <v>283</v>
      </c>
      <c r="B23" s="586" t="s">
        <v>434</v>
      </c>
      <c r="C23" s="438" t="s">
        <v>645</v>
      </c>
      <c r="D23" s="437">
        <v>0</v>
      </c>
      <c r="E23" s="437">
        <v>0</v>
      </c>
      <c r="F23" s="437">
        <v>100</v>
      </c>
      <c r="G23" s="640">
        <f t="shared" si="0"/>
        <v>100</v>
      </c>
    </row>
    <row r="24" spans="1:7" s="407" customFormat="1" ht="12">
      <c r="A24" s="364"/>
      <c r="B24" s="568" t="s">
        <v>47</v>
      </c>
      <c r="C24" s="630"/>
      <c r="D24" s="463">
        <f>SUM(D10:D23)</f>
        <v>91821</v>
      </c>
      <c r="E24" s="463">
        <f>SUM(E10:E23)</f>
        <v>108777</v>
      </c>
      <c r="F24" s="463">
        <f>SUM(F10:F23)</f>
        <v>17458</v>
      </c>
      <c r="G24" s="642">
        <f t="shared" si="0"/>
        <v>126235</v>
      </c>
    </row>
    <row r="25" spans="1:7" s="407" customFormat="1" ht="12">
      <c r="A25" s="364"/>
      <c r="B25" s="568"/>
      <c r="C25" s="630"/>
      <c r="D25" s="463"/>
      <c r="E25" s="463"/>
      <c r="F25" s="463"/>
      <c r="G25" s="639"/>
    </row>
    <row r="26" spans="1:7" s="441" customFormat="1" ht="12">
      <c r="A26" s="411"/>
      <c r="B26" s="569" t="s">
        <v>479</v>
      </c>
      <c r="C26" s="570"/>
      <c r="D26" s="437"/>
      <c r="E26" s="437"/>
      <c r="F26" s="437"/>
      <c r="G26" s="641"/>
    </row>
    <row r="27" spans="1:7" s="441" customFormat="1" ht="12">
      <c r="A27" s="573"/>
      <c r="B27" s="568" t="s">
        <v>246</v>
      </c>
      <c r="C27" s="570"/>
      <c r="D27" s="437"/>
      <c r="E27" s="437"/>
      <c r="F27" s="437"/>
      <c r="G27" s="641"/>
    </row>
    <row r="28" spans="1:7" s="441" customFormat="1" ht="12">
      <c r="A28" s="573" t="s">
        <v>284</v>
      </c>
      <c r="B28" s="571" t="s">
        <v>312</v>
      </c>
      <c r="C28" s="570" t="s">
        <v>442</v>
      </c>
      <c r="D28" s="437">
        <v>790246</v>
      </c>
      <c r="E28" s="437">
        <v>790246</v>
      </c>
      <c r="F28" s="437"/>
      <c r="G28" s="640">
        <f>SUM(E28:F28)</f>
        <v>790246</v>
      </c>
    </row>
    <row r="29" spans="1:7" s="407" customFormat="1" ht="12">
      <c r="A29" s="631"/>
      <c r="B29" s="572" t="s">
        <v>313</v>
      </c>
      <c r="C29" s="569"/>
      <c r="D29" s="463">
        <f>SUM(D28)</f>
        <v>790246</v>
      </c>
      <c r="E29" s="463">
        <f>SUM(E28)</f>
        <v>790246</v>
      </c>
      <c r="F29" s="463">
        <f>SUM(F28)</f>
        <v>0</v>
      </c>
      <c r="G29" s="642">
        <f>SUM(E29:F29)</f>
        <v>790246</v>
      </c>
    </row>
    <row r="30" spans="1:7" s="407" customFormat="1" ht="12">
      <c r="A30" s="631"/>
      <c r="B30" s="572" t="s">
        <v>63</v>
      </c>
      <c r="C30" s="569"/>
      <c r="D30" s="463"/>
      <c r="E30" s="463"/>
      <c r="F30" s="463"/>
      <c r="G30" s="642"/>
    </row>
    <row r="31" spans="1:7" s="441" customFormat="1" ht="12">
      <c r="A31" s="573" t="s">
        <v>395</v>
      </c>
      <c r="B31" s="571" t="s">
        <v>434</v>
      </c>
      <c r="C31" s="570" t="s">
        <v>615</v>
      </c>
      <c r="D31" s="437">
        <v>0</v>
      </c>
      <c r="E31" s="437">
        <v>70</v>
      </c>
      <c r="F31" s="437">
        <v>0</v>
      </c>
      <c r="G31" s="640">
        <f aca="true" t="shared" si="1" ref="G31:G36">SUM(E31:F31)</f>
        <v>70</v>
      </c>
    </row>
    <row r="32" spans="1:7" s="441" customFormat="1" ht="12">
      <c r="A32" s="573" t="s">
        <v>399</v>
      </c>
      <c r="B32" s="571" t="s">
        <v>590</v>
      </c>
      <c r="C32" s="570" t="s">
        <v>614</v>
      </c>
      <c r="D32" s="437">
        <v>0</v>
      </c>
      <c r="E32" s="437">
        <v>166</v>
      </c>
      <c r="F32" s="437">
        <v>0</v>
      </c>
      <c r="G32" s="640">
        <f t="shared" si="1"/>
        <v>166</v>
      </c>
    </row>
    <row r="33" spans="1:7" s="441" customFormat="1" ht="12">
      <c r="A33" s="573" t="s">
        <v>401</v>
      </c>
      <c r="B33" s="571" t="s">
        <v>557</v>
      </c>
      <c r="C33" s="570" t="s">
        <v>616</v>
      </c>
      <c r="D33" s="437">
        <v>0</v>
      </c>
      <c r="E33" s="437">
        <v>8</v>
      </c>
      <c r="F33" s="437">
        <v>0</v>
      </c>
      <c r="G33" s="640">
        <f t="shared" si="1"/>
        <v>8</v>
      </c>
    </row>
    <row r="34" spans="1:7" s="441" customFormat="1" ht="12">
      <c r="A34" s="573" t="s">
        <v>402</v>
      </c>
      <c r="B34" s="571" t="s">
        <v>558</v>
      </c>
      <c r="C34" s="570" t="s">
        <v>635</v>
      </c>
      <c r="D34" s="437">
        <v>0</v>
      </c>
      <c r="E34" s="437">
        <v>292</v>
      </c>
      <c r="F34" s="437">
        <v>0</v>
      </c>
      <c r="G34" s="640">
        <f t="shared" si="1"/>
        <v>292</v>
      </c>
    </row>
    <row r="35" spans="1:7" s="441" customFormat="1" ht="12">
      <c r="A35" s="573" t="s">
        <v>404</v>
      </c>
      <c r="B35" s="571" t="s">
        <v>559</v>
      </c>
      <c r="C35" s="570" t="s">
        <v>617</v>
      </c>
      <c r="D35" s="437">
        <v>0</v>
      </c>
      <c r="E35" s="437">
        <v>485</v>
      </c>
      <c r="F35" s="437">
        <v>0</v>
      </c>
      <c r="G35" s="640">
        <f t="shared" si="1"/>
        <v>485</v>
      </c>
    </row>
    <row r="36" spans="1:7" s="407" customFormat="1" ht="12">
      <c r="A36" s="631"/>
      <c r="B36" s="572" t="s">
        <v>560</v>
      </c>
      <c r="C36" s="569"/>
      <c r="D36" s="463">
        <f>SUM(D31:D35)</f>
        <v>0</v>
      </c>
      <c r="E36" s="463">
        <f>SUM(E31:E35)</f>
        <v>1021</v>
      </c>
      <c r="F36" s="463">
        <f>SUM(F31:F35)</f>
        <v>0</v>
      </c>
      <c r="G36" s="642">
        <f t="shared" si="1"/>
        <v>1021</v>
      </c>
    </row>
    <row r="37" spans="1:7" s="407" customFormat="1" ht="12">
      <c r="A37" s="631"/>
      <c r="B37" s="572" t="s">
        <v>242</v>
      </c>
      <c r="C37" s="569"/>
      <c r="D37" s="463"/>
      <c r="E37" s="463"/>
      <c r="F37" s="463"/>
      <c r="G37" s="642"/>
    </row>
    <row r="38" spans="1:7" s="441" customFormat="1" ht="12">
      <c r="A38" s="573" t="s">
        <v>405</v>
      </c>
      <c r="B38" s="571" t="s">
        <v>557</v>
      </c>
      <c r="C38" s="570" t="s">
        <v>647</v>
      </c>
      <c r="D38" s="437">
        <v>0</v>
      </c>
      <c r="E38" s="437">
        <v>0</v>
      </c>
      <c r="F38" s="437">
        <v>252</v>
      </c>
      <c r="G38" s="640">
        <f>SUM(E38:F38)</f>
        <v>252</v>
      </c>
    </row>
    <row r="39" spans="1:7" s="441" customFormat="1" ht="12">
      <c r="A39" s="573" t="s">
        <v>406</v>
      </c>
      <c r="B39" s="571" t="s">
        <v>434</v>
      </c>
      <c r="C39" s="570" t="s">
        <v>648</v>
      </c>
      <c r="D39" s="437">
        <v>0</v>
      </c>
      <c r="E39" s="437">
        <v>0</v>
      </c>
      <c r="F39" s="437">
        <v>100</v>
      </c>
      <c r="G39" s="640">
        <f>SUM(E39:F39)</f>
        <v>100</v>
      </c>
    </row>
    <row r="40" spans="1:7" s="407" customFormat="1" ht="12">
      <c r="A40" s="631"/>
      <c r="B40" s="572" t="s">
        <v>649</v>
      </c>
      <c r="C40" s="569"/>
      <c r="D40" s="463">
        <f>SUM(D38:D39)</f>
        <v>0</v>
      </c>
      <c r="E40" s="463">
        <f>SUM(E38:E39)</f>
        <v>0</v>
      </c>
      <c r="F40" s="463">
        <f>SUM(F38:F39)</f>
        <v>352</v>
      </c>
      <c r="G40" s="642">
        <f>SUM(E40:F40)</f>
        <v>352</v>
      </c>
    </row>
    <row r="41" spans="1:7" s="407" customFormat="1" ht="12">
      <c r="A41" s="631"/>
      <c r="B41" s="572" t="s">
        <v>125</v>
      </c>
      <c r="C41" s="569"/>
      <c r="D41" s="463"/>
      <c r="E41" s="463"/>
      <c r="F41" s="463"/>
      <c r="G41" s="642"/>
    </row>
    <row r="42" spans="1:7" s="407" customFormat="1" ht="24">
      <c r="A42" s="854" t="s">
        <v>409</v>
      </c>
      <c r="B42" s="850" t="s">
        <v>650</v>
      </c>
      <c r="C42" s="851" t="s">
        <v>676</v>
      </c>
      <c r="D42" s="437">
        <v>0</v>
      </c>
      <c r="E42" s="437">
        <v>0</v>
      </c>
      <c r="F42" s="437">
        <v>318</v>
      </c>
      <c r="G42" s="640">
        <f>SUM(E42:F42)</f>
        <v>318</v>
      </c>
    </row>
    <row r="43" spans="1:7" s="407" customFormat="1" ht="12">
      <c r="A43" s="854" t="s">
        <v>289</v>
      </c>
      <c r="B43" s="850" t="s">
        <v>434</v>
      </c>
      <c r="C43" s="851" t="s">
        <v>651</v>
      </c>
      <c r="D43" s="437">
        <v>0</v>
      </c>
      <c r="E43" s="437">
        <v>0</v>
      </c>
      <c r="F43" s="437">
        <v>55</v>
      </c>
      <c r="G43" s="640">
        <f>SUM(E43:F43)</f>
        <v>55</v>
      </c>
    </row>
    <row r="44" spans="1:7" s="407" customFormat="1" ht="12">
      <c r="A44" s="631"/>
      <c r="B44" s="852" t="s">
        <v>315</v>
      </c>
      <c r="C44" s="853"/>
      <c r="D44" s="463">
        <f>SUM(D42:D43)</f>
        <v>0</v>
      </c>
      <c r="E44" s="463">
        <f>SUM(E42:E43)</f>
        <v>0</v>
      </c>
      <c r="F44" s="463">
        <f>SUM(F42:F43)</f>
        <v>373</v>
      </c>
      <c r="G44" s="642">
        <f>SUM(E44:F44)</f>
        <v>373</v>
      </c>
    </row>
    <row r="45" spans="1:7" s="441" customFormat="1" ht="36" customHeight="1">
      <c r="A45" s="411"/>
      <c r="B45" s="860" t="s">
        <v>206</v>
      </c>
      <c r="C45" s="570"/>
      <c r="D45" s="574">
        <f>SUM(D24,D29,D36,D40,D44)</f>
        <v>882067</v>
      </c>
      <c r="E45" s="574">
        <f>SUM(E24,E29,E36,E40,E44)</f>
        <v>900044</v>
      </c>
      <c r="F45" s="574">
        <f>SUM(F24,F29,F36,F40,F44)</f>
        <v>18183</v>
      </c>
      <c r="G45" s="642">
        <f>SUM(E45:F45)</f>
        <v>918227</v>
      </c>
    </row>
    <row r="46" spans="1:7" s="441" customFormat="1" ht="12">
      <c r="A46" s="855"/>
      <c r="B46" s="856"/>
      <c r="C46" s="857"/>
      <c r="D46" s="858"/>
      <c r="E46" s="858"/>
      <c r="F46" s="858"/>
      <c r="G46" s="859"/>
    </row>
    <row r="47" spans="1:7" s="441" customFormat="1" ht="12">
      <c r="A47" s="855"/>
      <c r="B47" s="856"/>
      <c r="C47" s="857"/>
      <c r="D47" s="858"/>
      <c r="E47" s="858"/>
      <c r="F47" s="858"/>
      <c r="G47" s="859"/>
    </row>
    <row r="48" spans="1:7" s="441" customFormat="1" ht="12">
      <c r="A48" s="855"/>
      <c r="B48" s="856"/>
      <c r="C48" s="857"/>
      <c r="D48" s="858"/>
      <c r="E48" s="858"/>
      <c r="F48" s="858"/>
      <c r="G48" s="859"/>
    </row>
    <row r="49" spans="1:7" s="407" customFormat="1" ht="26.25" customHeight="1">
      <c r="A49" s="364" t="s">
        <v>397</v>
      </c>
      <c r="B49" s="587" t="s">
        <v>320</v>
      </c>
      <c r="C49" s="569"/>
      <c r="D49" s="463"/>
      <c r="E49" s="463"/>
      <c r="F49" s="463"/>
      <c r="G49" s="639"/>
    </row>
    <row r="50" spans="1:7" s="407" customFormat="1" ht="12" customHeight="1">
      <c r="A50" s="631"/>
      <c r="B50" s="575" t="s">
        <v>128</v>
      </c>
      <c r="C50" s="569"/>
      <c r="D50" s="463"/>
      <c r="E50" s="463"/>
      <c r="F50" s="463"/>
      <c r="G50" s="639"/>
    </row>
    <row r="51" spans="1:7" s="441" customFormat="1" ht="12" customHeight="1">
      <c r="A51" s="573" t="s">
        <v>247</v>
      </c>
      <c r="B51" s="586" t="s">
        <v>618</v>
      </c>
      <c r="C51" s="570" t="s">
        <v>619</v>
      </c>
      <c r="D51" s="437">
        <v>0</v>
      </c>
      <c r="E51" s="437">
        <v>1350</v>
      </c>
      <c r="F51" s="437">
        <v>0</v>
      </c>
      <c r="G51" s="640">
        <f>SUM(E51:F51)</f>
        <v>1350</v>
      </c>
    </row>
    <row r="52" spans="1:7" s="441" customFormat="1" ht="23.25" customHeight="1">
      <c r="A52" s="573" t="s">
        <v>248</v>
      </c>
      <c r="B52" s="586" t="s">
        <v>561</v>
      </c>
      <c r="C52" s="643" t="s">
        <v>596</v>
      </c>
      <c r="D52" s="437">
        <v>0</v>
      </c>
      <c r="E52" s="437">
        <v>821</v>
      </c>
      <c r="F52" s="437">
        <v>0</v>
      </c>
      <c r="G52" s="640">
        <f>SUM(E52:F52)</f>
        <v>821</v>
      </c>
    </row>
    <row r="53" spans="1:7" s="441" customFormat="1" ht="34.5" customHeight="1">
      <c r="A53" s="573" t="s">
        <v>249</v>
      </c>
      <c r="B53" s="586" t="s">
        <v>646</v>
      </c>
      <c r="C53" s="643" t="s">
        <v>645</v>
      </c>
      <c r="D53" s="437">
        <v>0</v>
      </c>
      <c r="E53" s="437">
        <v>0</v>
      </c>
      <c r="F53" s="437">
        <v>100</v>
      </c>
      <c r="G53" s="640">
        <f>SUM(E53:F53)</f>
        <v>100</v>
      </c>
    </row>
    <row r="54" spans="1:7" s="407" customFormat="1" ht="12" customHeight="1">
      <c r="A54" s="631"/>
      <c r="B54" s="575" t="s">
        <v>562</v>
      </c>
      <c r="C54" s="569"/>
      <c r="D54" s="463">
        <f>SUM(D51:D53)</f>
        <v>0</v>
      </c>
      <c r="E54" s="463">
        <f>SUM(E51:E53)</f>
        <v>2171</v>
      </c>
      <c r="F54" s="463">
        <f>SUM(F51:F53)</f>
        <v>100</v>
      </c>
      <c r="G54" s="642">
        <f>SUM(E54:F54)</f>
        <v>2271</v>
      </c>
    </row>
    <row r="55" spans="1:7" s="441" customFormat="1" ht="12.75" customHeight="1">
      <c r="A55" s="573"/>
      <c r="B55" s="569" t="s">
        <v>479</v>
      </c>
      <c r="C55" s="570"/>
      <c r="D55" s="437"/>
      <c r="E55" s="437"/>
      <c r="F55" s="437"/>
      <c r="G55" s="641"/>
    </row>
    <row r="56" spans="1:7" s="441" customFormat="1" ht="12.75" customHeight="1">
      <c r="A56" s="573"/>
      <c r="B56" s="693" t="s">
        <v>63</v>
      </c>
      <c r="C56" s="570"/>
      <c r="D56" s="437"/>
      <c r="E56" s="437"/>
      <c r="F56" s="437"/>
      <c r="G56" s="641"/>
    </row>
    <row r="57" spans="1:7" s="441" customFormat="1" ht="12.75" customHeight="1">
      <c r="A57" s="573" t="s">
        <v>95</v>
      </c>
      <c r="B57" s="694" t="s">
        <v>593</v>
      </c>
      <c r="C57" s="570" t="s">
        <v>594</v>
      </c>
      <c r="D57" s="437">
        <v>0</v>
      </c>
      <c r="E57" s="437">
        <v>15</v>
      </c>
      <c r="F57" s="437">
        <v>0</v>
      </c>
      <c r="G57" s="640">
        <f>SUM(E57:F57)</f>
        <v>15</v>
      </c>
    </row>
    <row r="58" spans="1:7" s="441" customFormat="1" ht="12.75" customHeight="1">
      <c r="A58" s="573" t="s">
        <v>96</v>
      </c>
      <c r="B58" s="694" t="s">
        <v>563</v>
      </c>
      <c r="C58" s="570" t="s">
        <v>592</v>
      </c>
      <c r="D58" s="437">
        <v>0</v>
      </c>
      <c r="E58" s="437">
        <v>2560</v>
      </c>
      <c r="F58" s="437">
        <v>681</v>
      </c>
      <c r="G58" s="640">
        <f>SUM(E58:F58)</f>
        <v>3241</v>
      </c>
    </row>
    <row r="59" spans="1:7" s="407" customFormat="1" ht="12.75" customHeight="1">
      <c r="A59" s="631"/>
      <c r="B59" s="693" t="s">
        <v>560</v>
      </c>
      <c r="C59" s="569"/>
      <c r="D59" s="463">
        <f>SUM(D57:D58)</f>
        <v>0</v>
      </c>
      <c r="E59" s="463">
        <f>SUM(E57:E58)</f>
        <v>2575</v>
      </c>
      <c r="F59" s="463">
        <f>SUM(F57:F58)</f>
        <v>681</v>
      </c>
      <c r="G59" s="642">
        <f>SUM(E59:F59)</f>
        <v>3256</v>
      </c>
    </row>
    <row r="60" spans="1:7" s="407" customFormat="1" ht="12.75" customHeight="1">
      <c r="A60" s="631"/>
      <c r="B60" s="693" t="s">
        <v>242</v>
      </c>
      <c r="C60" s="569"/>
      <c r="D60" s="463"/>
      <c r="E60" s="463"/>
      <c r="F60" s="463"/>
      <c r="G60" s="642"/>
    </row>
    <row r="61" spans="1:7" s="441" customFormat="1" ht="12.75" customHeight="1">
      <c r="A61" s="573" t="s">
        <v>97</v>
      </c>
      <c r="B61" s="694" t="s">
        <v>563</v>
      </c>
      <c r="C61" s="570" t="s">
        <v>652</v>
      </c>
      <c r="D61" s="437">
        <v>0</v>
      </c>
      <c r="E61" s="437">
        <v>0</v>
      </c>
      <c r="F61" s="437">
        <v>600</v>
      </c>
      <c r="G61" s="640">
        <f>SUM(E61:F61)</f>
        <v>600</v>
      </c>
    </row>
    <row r="62" spans="1:7" s="441" customFormat="1" ht="12.75" customHeight="1">
      <c r="A62" s="573" t="s">
        <v>98</v>
      </c>
      <c r="B62" s="694" t="s">
        <v>653</v>
      </c>
      <c r="C62" s="570" t="s">
        <v>654</v>
      </c>
      <c r="D62" s="437">
        <v>0</v>
      </c>
      <c r="E62" s="437">
        <v>0</v>
      </c>
      <c r="F62" s="437">
        <v>58</v>
      </c>
      <c r="G62" s="640">
        <f>SUM(E62:F62)</f>
        <v>58</v>
      </c>
    </row>
    <row r="63" spans="1:7" s="441" customFormat="1" ht="12.75" customHeight="1">
      <c r="A63" s="573" t="s">
        <v>99</v>
      </c>
      <c r="B63" s="694" t="s">
        <v>655</v>
      </c>
      <c r="C63" s="570" t="s">
        <v>656</v>
      </c>
      <c r="D63" s="437">
        <v>0</v>
      </c>
      <c r="E63" s="437">
        <v>0</v>
      </c>
      <c r="F63" s="437">
        <v>18</v>
      </c>
      <c r="G63" s="640">
        <f>SUM(E63:F63)</f>
        <v>18</v>
      </c>
    </row>
    <row r="64" spans="1:7" s="407" customFormat="1" ht="12.75" customHeight="1">
      <c r="A64" s="631"/>
      <c r="B64" s="693" t="s">
        <v>649</v>
      </c>
      <c r="C64" s="569"/>
      <c r="D64" s="463">
        <f>SUM(D61:D63)</f>
        <v>0</v>
      </c>
      <c r="E64" s="463">
        <f>SUM(E61:E63)</f>
        <v>0</v>
      </c>
      <c r="F64" s="463">
        <f>SUM(F61:F63)</f>
        <v>676</v>
      </c>
      <c r="G64" s="642">
        <f>SUM(E64:F64)</f>
        <v>676</v>
      </c>
    </row>
    <row r="65" spans="1:7" s="441" customFormat="1" ht="12.75" customHeight="1">
      <c r="A65" s="573"/>
      <c r="B65" s="576" t="s">
        <v>125</v>
      </c>
      <c r="C65" s="570"/>
      <c r="D65" s="437"/>
      <c r="E65" s="437"/>
      <c r="F65" s="437"/>
      <c r="G65" s="641"/>
    </row>
    <row r="66" spans="1:7" s="441" customFormat="1" ht="11.25" customHeight="1">
      <c r="A66" s="573" t="s">
        <v>100</v>
      </c>
      <c r="B66" s="632" t="s">
        <v>314</v>
      </c>
      <c r="C66" s="570" t="s">
        <v>439</v>
      </c>
      <c r="D66" s="437">
        <v>251</v>
      </c>
      <c r="E66" s="437">
        <v>251</v>
      </c>
      <c r="F66" s="437">
        <v>0</v>
      </c>
      <c r="G66" s="640">
        <f aca="true" t="shared" si="2" ref="G66:G71">SUM(E66:F66)</f>
        <v>251</v>
      </c>
    </row>
    <row r="67" spans="1:7" s="441" customFormat="1" ht="11.25" customHeight="1">
      <c r="A67" s="573" t="s">
        <v>101</v>
      </c>
      <c r="B67" s="694" t="s">
        <v>563</v>
      </c>
      <c r="C67" s="570" t="s">
        <v>657</v>
      </c>
      <c r="D67" s="437">
        <v>0</v>
      </c>
      <c r="E67" s="437">
        <v>0</v>
      </c>
      <c r="F67" s="437">
        <v>300</v>
      </c>
      <c r="G67" s="640">
        <f t="shared" si="2"/>
        <v>300</v>
      </c>
    </row>
    <row r="68" spans="1:7" s="441" customFormat="1" ht="11.25" customHeight="1">
      <c r="A68" s="573" t="s">
        <v>102</v>
      </c>
      <c r="B68" s="570" t="s">
        <v>658</v>
      </c>
      <c r="C68" s="570" t="s">
        <v>659</v>
      </c>
      <c r="D68" s="437">
        <v>0</v>
      </c>
      <c r="E68" s="437">
        <v>0</v>
      </c>
      <c r="F68" s="437">
        <v>50</v>
      </c>
      <c r="G68" s="640">
        <f t="shared" si="2"/>
        <v>50</v>
      </c>
    </row>
    <row r="69" spans="1:7" s="407" customFormat="1" ht="11.25" customHeight="1">
      <c r="A69" s="631"/>
      <c r="B69" s="633" t="s">
        <v>315</v>
      </c>
      <c r="C69" s="569"/>
      <c r="D69" s="463">
        <f>SUM(D66:D68)</f>
        <v>251</v>
      </c>
      <c r="E69" s="463">
        <f>SUM(E66:E68)</f>
        <v>251</v>
      </c>
      <c r="F69" s="463">
        <f>SUM(F66:F68)</f>
        <v>350</v>
      </c>
      <c r="G69" s="642">
        <f t="shared" si="2"/>
        <v>601</v>
      </c>
    </row>
    <row r="70" spans="1:7" s="407" customFormat="1" ht="24" customHeight="1">
      <c r="A70" s="364"/>
      <c r="B70" s="577" t="s">
        <v>321</v>
      </c>
      <c r="C70" s="569"/>
      <c r="D70" s="463">
        <f>SUM(D54,D59,D64,D69)</f>
        <v>251</v>
      </c>
      <c r="E70" s="463">
        <f>SUM(E54,E59,E64,E69)</f>
        <v>4997</v>
      </c>
      <c r="F70" s="463">
        <f>SUM(F54,F59,F64,F69)</f>
        <v>1807</v>
      </c>
      <c r="G70" s="642">
        <f t="shared" si="2"/>
        <v>6804</v>
      </c>
    </row>
    <row r="71" spans="1:7" s="407" customFormat="1" ht="24" customHeight="1">
      <c r="A71" s="364"/>
      <c r="B71" s="565" t="s">
        <v>42</v>
      </c>
      <c r="C71" s="569"/>
      <c r="D71" s="463">
        <f>SUM(D45,D70)</f>
        <v>882318</v>
      </c>
      <c r="E71" s="463">
        <f>SUM(E45,E70)</f>
        <v>905041</v>
      </c>
      <c r="F71" s="463">
        <f>SUM(F45,F70)</f>
        <v>19990</v>
      </c>
      <c r="G71" s="642">
        <f t="shared" si="2"/>
        <v>925031</v>
      </c>
    </row>
    <row r="72" spans="1:7" s="441" customFormat="1" ht="12.75" customHeight="1">
      <c r="A72" s="364" t="s">
        <v>408</v>
      </c>
      <c r="B72" s="565" t="s">
        <v>207</v>
      </c>
      <c r="C72" s="570"/>
      <c r="D72" s="437"/>
      <c r="E72" s="437"/>
      <c r="F72" s="437"/>
      <c r="G72" s="641"/>
    </row>
    <row r="73" spans="1:7" s="441" customFormat="1" ht="12">
      <c r="A73" s="411"/>
      <c r="B73" s="578" t="s">
        <v>128</v>
      </c>
      <c r="C73" s="570"/>
      <c r="D73" s="437"/>
      <c r="E73" s="437"/>
      <c r="F73" s="437"/>
      <c r="G73" s="641"/>
    </row>
    <row r="74" spans="1:7" s="407" customFormat="1" ht="12">
      <c r="A74" s="411" t="s">
        <v>247</v>
      </c>
      <c r="B74" s="567" t="s">
        <v>434</v>
      </c>
      <c r="C74" s="579" t="s">
        <v>316</v>
      </c>
      <c r="D74" s="592">
        <v>466479</v>
      </c>
      <c r="E74" s="592">
        <v>466479</v>
      </c>
      <c r="F74" s="592">
        <v>0</v>
      </c>
      <c r="G74" s="640">
        <f aca="true" t="shared" si="3" ref="G74:G80">SUM(E74:F74)</f>
        <v>466479</v>
      </c>
    </row>
    <row r="75" spans="1:7" s="407" customFormat="1" ht="12">
      <c r="A75" s="411" t="s">
        <v>248</v>
      </c>
      <c r="B75" s="567" t="s">
        <v>564</v>
      </c>
      <c r="C75" s="579" t="s">
        <v>620</v>
      </c>
      <c r="D75" s="592">
        <v>0</v>
      </c>
      <c r="E75" s="592">
        <v>53431</v>
      </c>
      <c r="F75" s="592">
        <v>0</v>
      </c>
      <c r="G75" s="640">
        <f t="shared" si="3"/>
        <v>53431</v>
      </c>
    </row>
    <row r="76" spans="1:7" s="407" customFormat="1" ht="12">
      <c r="A76" s="411" t="s">
        <v>249</v>
      </c>
      <c r="B76" s="567" t="s">
        <v>434</v>
      </c>
      <c r="C76" s="579" t="s">
        <v>565</v>
      </c>
      <c r="D76" s="592">
        <v>0</v>
      </c>
      <c r="E76" s="592">
        <v>24918</v>
      </c>
      <c r="F76" s="592">
        <v>0</v>
      </c>
      <c r="G76" s="640">
        <f t="shared" si="3"/>
        <v>24918</v>
      </c>
    </row>
    <row r="77" spans="1:7" s="407" customFormat="1" ht="12">
      <c r="A77" s="411" t="s">
        <v>95</v>
      </c>
      <c r="B77" s="567" t="s">
        <v>434</v>
      </c>
      <c r="C77" s="579" t="s">
        <v>660</v>
      </c>
      <c r="D77" s="592">
        <v>0</v>
      </c>
      <c r="E77" s="592">
        <v>0</v>
      </c>
      <c r="F77" s="592">
        <v>72734</v>
      </c>
      <c r="G77" s="640">
        <f t="shared" si="3"/>
        <v>72734</v>
      </c>
    </row>
    <row r="78" spans="1:7" s="407" customFormat="1" ht="24">
      <c r="A78" s="411" t="s">
        <v>96</v>
      </c>
      <c r="B78" s="567" t="s">
        <v>434</v>
      </c>
      <c r="C78" s="851" t="s">
        <v>661</v>
      </c>
      <c r="D78" s="592">
        <v>0</v>
      </c>
      <c r="E78" s="592">
        <v>0</v>
      </c>
      <c r="F78" s="592">
        <v>20026</v>
      </c>
      <c r="G78" s="640">
        <f t="shared" si="3"/>
        <v>20026</v>
      </c>
    </row>
    <row r="79" spans="1:7" s="407" customFormat="1" ht="12">
      <c r="A79" s="364"/>
      <c r="B79" s="580" t="s">
        <v>47</v>
      </c>
      <c r="C79" s="578"/>
      <c r="D79" s="574">
        <f>SUM(D74:D78)</f>
        <v>466479</v>
      </c>
      <c r="E79" s="574">
        <f>SUM(E74:E78)</f>
        <v>544828</v>
      </c>
      <c r="F79" s="574">
        <f>SUM(F74:F78)</f>
        <v>92760</v>
      </c>
      <c r="G79" s="642">
        <f t="shared" si="3"/>
        <v>637588</v>
      </c>
    </row>
    <row r="80" spans="1:7" s="407" customFormat="1" ht="21.75" customHeight="1">
      <c r="A80" s="364"/>
      <c r="B80" s="565" t="s">
        <v>208</v>
      </c>
      <c r="C80" s="581"/>
      <c r="D80" s="582">
        <f>SUM(D79)</f>
        <v>466479</v>
      </c>
      <c r="E80" s="582">
        <f>SUM(E79)</f>
        <v>544828</v>
      </c>
      <c r="F80" s="582">
        <f>SUM(F79)</f>
        <v>92760</v>
      </c>
      <c r="G80" s="642">
        <f t="shared" si="3"/>
        <v>637588</v>
      </c>
    </row>
    <row r="81" spans="1:7" s="441" customFormat="1" ht="12">
      <c r="A81" s="411"/>
      <c r="B81" s="569"/>
      <c r="C81" s="634"/>
      <c r="D81" s="583"/>
      <c r="E81" s="583"/>
      <c r="F81" s="583"/>
      <c r="G81" s="641"/>
    </row>
    <row r="82" spans="1:7" s="407" customFormat="1" ht="24">
      <c r="A82" s="364" t="s">
        <v>465</v>
      </c>
      <c r="B82" s="575" t="s">
        <v>487</v>
      </c>
      <c r="C82" s="584"/>
      <c r="D82" s="582"/>
      <c r="E82" s="582"/>
      <c r="F82" s="582"/>
      <c r="G82" s="639"/>
    </row>
    <row r="83" spans="1:7" s="407" customFormat="1" ht="12">
      <c r="A83" s="585"/>
      <c r="B83" s="575" t="s">
        <v>128</v>
      </c>
      <c r="C83" s="584"/>
      <c r="D83" s="582"/>
      <c r="E83" s="582"/>
      <c r="F83" s="582"/>
      <c r="G83" s="639"/>
    </row>
    <row r="84" spans="1:7" s="441" customFormat="1" ht="12">
      <c r="A84" s="585" t="s">
        <v>247</v>
      </c>
      <c r="B84" s="586" t="s">
        <v>12</v>
      </c>
      <c r="C84" s="570" t="s">
        <v>317</v>
      </c>
      <c r="D84" s="583">
        <v>12990</v>
      </c>
      <c r="E84" s="583">
        <v>12990</v>
      </c>
      <c r="F84" s="583">
        <v>0</v>
      </c>
      <c r="G84" s="640">
        <f>SUM(E84:F84)</f>
        <v>12990</v>
      </c>
    </row>
    <row r="85" spans="1:7" s="441" customFormat="1" ht="12">
      <c r="A85" s="585" t="s">
        <v>248</v>
      </c>
      <c r="B85" s="586" t="s">
        <v>566</v>
      </c>
      <c r="C85" s="570" t="s">
        <v>621</v>
      </c>
      <c r="D85" s="583">
        <v>0</v>
      </c>
      <c r="E85" s="583">
        <v>1000</v>
      </c>
      <c r="F85" s="583">
        <v>0</v>
      </c>
      <c r="G85" s="640">
        <f>SUM(E85:F85)</f>
        <v>1000</v>
      </c>
    </row>
    <row r="86" spans="1:7" s="407" customFormat="1" ht="12">
      <c r="A86" s="585"/>
      <c r="B86" s="569" t="s">
        <v>47</v>
      </c>
      <c r="C86" s="630"/>
      <c r="D86" s="463">
        <f>SUM(D84:D85)</f>
        <v>12990</v>
      </c>
      <c r="E86" s="463">
        <f>SUM(E84:E85)</f>
        <v>13990</v>
      </c>
      <c r="F86" s="463">
        <f>SUM(F84:F85)</f>
        <v>0</v>
      </c>
      <c r="G86" s="642">
        <f>SUM(E86:F86)</f>
        <v>13990</v>
      </c>
    </row>
    <row r="87" spans="1:7" s="407" customFormat="1" ht="12">
      <c r="A87" s="585"/>
      <c r="B87" s="569" t="s">
        <v>567</v>
      </c>
      <c r="C87" s="630"/>
      <c r="D87" s="463"/>
      <c r="E87" s="463"/>
      <c r="F87" s="463"/>
      <c r="G87" s="642"/>
    </row>
    <row r="88" spans="1:7" s="407" customFormat="1" ht="12">
      <c r="A88" s="585"/>
      <c r="B88" s="569" t="s">
        <v>568</v>
      </c>
      <c r="C88" s="630"/>
      <c r="D88" s="463"/>
      <c r="E88" s="463"/>
      <c r="F88" s="463"/>
      <c r="G88" s="642"/>
    </row>
    <row r="89" spans="1:7" s="407" customFormat="1" ht="12">
      <c r="A89" s="585" t="s">
        <v>249</v>
      </c>
      <c r="B89" s="694" t="s">
        <v>591</v>
      </c>
      <c r="C89" s="570" t="s">
        <v>634</v>
      </c>
      <c r="D89" s="437">
        <v>0</v>
      </c>
      <c r="E89" s="437">
        <v>2000</v>
      </c>
      <c r="F89" s="437">
        <v>0</v>
      </c>
      <c r="G89" s="640">
        <f>SUM(E89:F89)</f>
        <v>2000</v>
      </c>
    </row>
    <row r="90" spans="1:7" s="407" customFormat="1" ht="12">
      <c r="A90" s="585" t="s">
        <v>95</v>
      </c>
      <c r="B90" s="694" t="s">
        <v>563</v>
      </c>
      <c r="C90" s="570" t="s">
        <v>592</v>
      </c>
      <c r="D90" s="437">
        <v>0</v>
      </c>
      <c r="E90" s="437">
        <v>1128</v>
      </c>
      <c r="F90" s="437">
        <v>-681</v>
      </c>
      <c r="G90" s="640">
        <f>SUM(E90:F90)</f>
        <v>447</v>
      </c>
    </row>
    <row r="91" spans="1:7" s="407" customFormat="1" ht="12">
      <c r="A91" s="585"/>
      <c r="B91" s="569" t="s">
        <v>595</v>
      </c>
      <c r="C91" s="630"/>
      <c r="D91" s="463">
        <f>SUM(D89:D90)</f>
        <v>0</v>
      </c>
      <c r="E91" s="463">
        <f>SUM(E89:E90)</f>
        <v>3128</v>
      </c>
      <c r="F91" s="463">
        <f>SUM(F89:F90)</f>
        <v>-681</v>
      </c>
      <c r="G91" s="642">
        <f>SUM(E91:F91)</f>
        <v>2447</v>
      </c>
    </row>
    <row r="92" spans="1:7" s="441" customFormat="1" ht="24">
      <c r="A92" s="411"/>
      <c r="B92" s="587" t="s">
        <v>318</v>
      </c>
      <c r="C92" s="570"/>
      <c r="D92" s="574">
        <f>SUM(D91,D86)</f>
        <v>12990</v>
      </c>
      <c r="E92" s="574">
        <f>SUM(E91,E86)</f>
        <v>17118</v>
      </c>
      <c r="F92" s="574">
        <f>SUM(F91,F86)</f>
        <v>-681</v>
      </c>
      <c r="G92" s="574">
        <f>SUM(E92:F92)</f>
        <v>16437</v>
      </c>
    </row>
    <row r="93" spans="1:7" s="441" customFormat="1" ht="36">
      <c r="A93" s="588"/>
      <c r="B93" s="548" t="s">
        <v>43</v>
      </c>
      <c r="C93" s="588"/>
      <c r="D93" s="574">
        <f>SUM(D80,D92)</f>
        <v>479469</v>
      </c>
      <c r="E93" s="574">
        <f>SUM(E80,E92)</f>
        <v>561946</v>
      </c>
      <c r="F93" s="574">
        <f>SUM(F80,F92)</f>
        <v>92079</v>
      </c>
      <c r="G93" s="574">
        <f>SUM(E93:F93)</f>
        <v>654025</v>
      </c>
    </row>
  </sheetData>
  <mergeCells count="2">
    <mergeCell ref="A2:G2"/>
    <mergeCell ref="A3:G3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CE,Normál"1/a.számú melléklet</oddHeader>
    <oddFooter>&amp;L&amp;"Times New Roman CE,Normál"&amp;8&amp;F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G4" sqref="G1:R16384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4" width="11.00390625" style="0" customWidth="1"/>
    <col min="6" max="6" width="11.7109375" style="183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03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07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07"/>
    </row>
    <row r="6" spans="1:6" s="604" customFormat="1" ht="13.5" customHeight="1">
      <c r="A6" s="606"/>
      <c r="B6" s="606"/>
      <c r="C6" s="607"/>
      <c r="D6" s="607"/>
      <c r="E6" s="607"/>
      <c r="F6" s="607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540</v>
      </c>
      <c r="C8" s="26"/>
      <c r="D8" s="26"/>
      <c r="E8" s="512"/>
      <c r="F8" s="621" t="s">
        <v>524</v>
      </c>
    </row>
    <row r="9" spans="1:6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432</v>
      </c>
      <c r="D12" s="59">
        <v>432</v>
      </c>
      <c r="E12" s="59">
        <v>0</v>
      </c>
      <c r="F12" s="660">
        <f aca="true" t="shared" si="0" ref="F12:F29">SUM(D12:E12)</f>
        <v>432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71</v>
      </c>
      <c r="E13" s="59">
        <f>SUM(E14:E16)</f>
        <v>0</v>
      </c>
      <c r="F13" s="660">
        <f t="shared" si="0"/>
        <v>71</v>
      </c>
    </row>
    <row r="14" spans="1:6" ht="11.25" customHeight="1">
      <c r="A14" s="152"/>
      <c r="B14" s="154" t="s">
        <v>375</v>
      </c>
      <c r="C14" s="59">
        <v>0</v>
      </c>
      <c r="D14" s="59">
        <v>71</v>
      </c>
      <c r="E14" s="59">
        <v>0</v>
      </c>
      <c r="F14" s="660">
        <f t="shared" si="0"/>
        <v>71</v>
      </c>
    </row>
    <row r="15" spans="1:6" ht="11.25" customHeight="1">
      <c r="A15" s="152"/>
      <c r="B15" s="154" t="s">
        <v>212</v>
      </c>
      <c r="C15" s="59">
        <v>0</v>
      </c>
      <c r="D15" s="59">
        <v>0</v>
      </c>
      <c r="E15" s="59">
        <v>0</v>
      </c>
      <c r="F15" s="660">
        <f t="shared" si="0"/>
        <v>0</v>
      </c>
    </row>
    <row r="16" spans="1:6" ht="11.25" customHeight="1">
      <c r="A16" s="152"/>
      <c r="B16" s="154" t="s">
        <v>213</v>
      </c>
      <c r="C16" s="59">
        <v>0</v>
      </c>
      <c r="D16" s="59">
        <v>0</v>
      </c>
      <c r="E16" s="59">
        <v>0</v>
      </c>
      <c r="F16" s="660">
        <f t="shared" si="0"/>
        <v>0</v>
      </c>
    </row>
    <row r="17" spans="1:6" ht="11.25" customHeight="1">
      <c r="A17" s="152" t="s">
        <v>249</v>
      </c>
      <c r="B17" s="153" t="s">
        <v>62</v>
      </c>
      <c r="C17" s="59">
        <v>954</v>
      </c>
      <c r="D17" s="59">
        <v>3472</v>
      </c>
      <c r="E17" s="59">
        <v>700</v>
      </c>
      <c r="F17" s="660">
        <f t="shared" si="0"/>
        <v>4172</v>
      </c>
    </row>
    <row r="18" spans="1:6" ht="23.25" customHeight="1">
      <c r="A18" s="150" t="s">
        <v>95</v>
      </c>
      <c r="B18" s="155" t="s">
        <v>488</v>
      </c>
      <c r="C18" s="59">
        <f>SUM(C19:C20)</f>
        <v>0</v>
      </c>
      <c r="D18" s="59">
        <f>SUM(D19:D20)</f>
        <v>0</v>
      </c>
      <c r="E18" s="59">
        <f>SUM(E19:E20)</f>
        <v>0</v>
      </c>
      <c r="F18" s="660">
        <f t="shared" si="0"/>
        <v>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0</v>
      </c>
      <c r="D20" s="59">
        <v>0</v>
      </c>
      <c r="E20" s="59">
        <v>0</v>
      </c>
      <c r="F20" s="660">
        <f t="shared" si="0"/>
        <v>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3975</v>
      </c>
      <c r="E22" s="60">
        <f>SUM(E12,E13,E17,E18,E21)</f>
        <v>700</v>
      </c>
      <c r="F22" s="661">
        <f t="shared" si="0"/>
        <v>4675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1000</v>
      </c>
      <c r="E27" s="59">
        <v>0</v>
      </c>
      <c r="F27" s="660">
        <f t="shared" si="0"/>
        <v>1000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1000</v>
      </c>
      <c r="E28" s="60">
        <f>SUM(E23:E27)</f>
        <v>0</v>
      </c>
      <c r="F28" s="661">
        <f t="shared" si="0"/>
        <v>1000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4975</v>
      </c>
      <c r="E29" s="118">
        <f>SUM(E22,E28)</f>
        <v>700</v>
      </c>
      <c r="F29" s="662">
        <f t="shared" si="0"/>
        <v>5675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1003</v>
      </c>
      <c r="E31" s="59">
        <v>700</v>
      </c>
      <c r="F31" s="660">
        <f aca="true" t="shared" si="1" ref="F31:F39">SUM(D31:E31)</f>
        <v>1703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0</v>
      </c>
      <c r="F34" s="660">
        <f t="shared" si="1"/>
        <v>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3332</v>
      </c>
      <c r="E38" s="59">
        <v>0</v>
      </c>
      <c r="F38" s="660">
        <f t="shared" si="1"/>
        <v>3332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4975</v>
      </c>
      <c r="E39" s="118">
        <f>SUM(E31:E38)</f>
        <v>700</v>
      </c>
      <c r="F39" s="662">
        <f t="shared" si="1"/>
        <v>5675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G1" sqref="G1:R16384"/>
    </sheetView>
  </sheetViews>
  <sheetFormatPr defaultColWidth="9.140625" defaultRowHeight="12.75"/>
  <cols>
    <col min="1" max="1" width="4.57421875" style="0" customWidth="1"/>
    <col min="2" max="2" width="38.421875" style="0" customWidth="1"/>
    <col min="3" max="3" width="10.28125" style="0" customWidth="1"/>
    <col min="4" max="4" width="11.57421875" style="0" customWidth="1"/>
    <col min="6" max="6" width="11.7109375" style="183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03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07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07"/>
    </row>
    <row r="6" spans="1:6" s="604" customFormat="1" ht="13.5" customHeight="1">
      <c r="A6" s="606"/>
      <c r="B6" s="606"/>
      <c r="C6" s="607"/>
      <c r="D6" s="607"/>
      <c r="E6" s="607"/>
      <c r="F6" s="607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369</v>
      </c>
      <c r="C8" s="26"/>
      <c r="D8" s="26"/>
      <c r="E8" s="512"/>
      <c r="F8" s="621" t="s">
        <v>524</v>
      </c>
    </row>
    <row r="9" spans="1:6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414</v>
      </c>
      <c r="D12" s="59">
        <v>414</v>
      </c>
      <c r="E12" s="59">
        <v>0</v>
      </c>
      <c r="F12" s="660">
        <f aca="true" t="shared" si="0" ref="F12:F29">SUM(D12:E12)</f>
        <v>414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0</v>
      </c>
      <c r="E13" s="59">
        <f>SUM(E14:E16)</f>
        <v>0</v>
      </c>
      <c r="F13" s="660">
        <f t="shared" si="0"/>
        <v>0</v>
      </c>
    </row>
    <row r="14" spans="1:6" ht="11.25" customHeight="1">
      <c r="A14" s="152"/>
      <c r="B14" s="154" t="s">
        <v>375</v>
      </c>
      <c r="C14" s="59">
        <v>0</v>
      </c>
      <c r="D14" s="59">
        <v>0</v>
      </c>
      <c r="E14" s="59">
        <v>0</v>
      </c>
      <c r="F14" s="660">
        <f t="shared" si="0"/>
        <v>0</v>
      </c>
    </row>
    <row r="15" spans="1:6" ht="11.25" customHeight="1">
      <c r="A15" s="152"/>
      <c r="B15" s="154" t="s">
        <v>212</v>
      </c>
      <c r="C15" s="59">
        <v>0</v>
      </c>
      <c r="D15" s="59">
        <v>0</v>
      </c>
      <c r="E15" s="59">
        <v>0</v>
      </c>
      <c r="F15" s="660">
        <f t="shared" si="0"/>
        <v>0</v>
      </c>
    </row>
    <row r="16" spans="1:6" ht="11.25" customHeight="1">
      <c r="A16" s="152"/>
      <c r="B16" s="154" t="s">
        <v>213</v>
      </c>
      <c r="C16" s="59">
        <v>0</v>
      </c>
      <c r="D16" s="59">
        <v>0</v>
      </c>
      <c r="E16" s="59">
        <v>0</v>
      </c>
      <c r="F16" s="660">
        <f t="shared" si="0"/>
        <v>0</v>
      </c>
    </row>
    <row r="17" spans="1:6" ht="11.25" customHeight="1">
      <c r="A17" s="152" t="s">
        <v>249</v>
      </c>
      <c r="B17" s="153" t="s">
        <v>62</v>
      </c>
      <c r="C17" s="59">
        <v>972</v>
      </c>
      <c r="D17" s="59">
        <v>1892</v>
      </c>
      <c r="E17" s="59">
        <v>680</v>
      </c>
      <c r="F17" s="660">
        <f t="shared" si="0"/>
        <v>2572</v>
      </c>
    </row>
    <row r="18" spans="1:6" ht="23.25" customHeight="1">
      <c r="A18" s="150" t="s">
        <v>95</v>
      </c>
      <c r="B18" s="155" t="s">
        <v>488</v>
      </c>
      <c r="C18" s="59">
        <f>SUM(C19:C20)</f>
        <v>0</v>
      </c>
      <c r="D18" s="59">
        <f>SUM(D19:D20)</f>
        <v>0</v>
      </c>
      <c r="E18" s="59">
        <f>SUM(E19:E20)</f>
        <v>0</v>
      </c>
      <c r="F18" s="660">
        <f t="shared" si="0"/>
        <v>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0</v>
      </c>
      <c r="D20" s="59">
        <v>0</v>
      </c>
      <c r="E20" s="59">
        <v>0</v>
      </c>
      <c r="F20" s="660">
        <f t="shared" si="0"/>
        <v>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2306</v>
      </c>
      <c r="E22" s="60">
        <f>SUM(E12,E13,E17,E18,E21)</f>
        <v>680</v>
      </c>
      <c r="F22" s="661">
        <f t="shared" si="0"/>
        <v>2986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2306</v>
      </c>
      <c r="E29" s="118">
        <f>SUM(E22,E28)</f>
        <v>680</v>
      </c>
      <c r="F29" s="662">
        <f t="shared" si="0"/>
        <v>2986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1003</v>
      </c>
      <c r="E31" s="59">
        <v>680</v>
      </c>
      <c r="F31" s="660">
        <f aca="true" t="shared" si="1" ref="F31:F39">SUM(D31:E31)</f>
        <v>1683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0</v>
      </c>
      <c r="F34" s="660">
        <f t="shared" si="1"/>
        <v>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663</v>
      </c>
      <c r="E38" s="59">
        <v>0</v>
      </c>
      <c r="F38" s="660">
        <f t="shared" si="1"/>
        <v>663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2306</v>
      </c>
      <c r="E39" s="118">
        <f>SUM(E31:E38)</f>
        <v>680</v>
      </c>
      <c r="F39" s="662">
        <f t="shared" si="1"/>
        <v>2986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38.421875" style="0" customWidth="1"/>
    <col min="3" max="3" width="10.7109375" style="0" customWidth="1"/>
    <col min="4" max="4" width="11.421875" style="0" customWidth="1"/>
    <col min="6" max="6" width="12.140625" style="183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03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07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07"/>
    </row>
    <row r="6" spans="1:6" s="604" customFormat="1" ht="13.5" customHeight="1">
      <c r="A6" s="606"/>
      <c r="B6" s="606"/>
      <c r="C6" s="607"/>
      <c r="D6" s="607"/>
      <c r="E6" s="607"/>
      <c r="F6" s="607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298</v>
      </c>
      <c r="C8" s="26"/>
      <c r="D8" s="26"/>
      <c r="E8" s="512"/>
      <c r="F8" s="621" t="s">
        <v>524</v>
      </c>
    </row>
    <row r="9" spans="1:6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0</v>
      </c>
      <c r="D12" s="59">
        <v>0</v>
      </c>
      <c r="E12" s="59">
        <v>0</v>
      </c>
      <c r="F12" s="660">
        <f aca="true" t="shared" si="0" ref="F12:F29">SUM(D12:E12)</f>
        <v>0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0</v>
      </c>
      <c r="E13" s="59">
        <f>SUM(E14:E16)</f>
        <v>0</v>
      </c>
      <c r="F13" s="660">
        <f t="shared" si="0"/>
        <v>0</v>
      </c>
    </row>
    <row r="14" spans="1:6" ht="11.25" customHeight="1">
      <c r="A14" s="152"/>
      <c r="B14" s="154" t="s">
        <v>375</v>
      </c>
      <c r="C14" s="59">
        <v>0</v>
      </c>
      <c r="D14" s="59">
        <v>0</v>
      </c>
      <c r="E14" s="59">
        <v>0</v>
      </c>
      <c r="F14" s="660">
        <f t="shared" si="0"/>
        <v>0</v>
      </c>
    </row>
    <row r="15" spans="1:6" ht="11.25" customHeight="1">
      <c r="A15" s="152"/>
      <c r="B15" s="154" t="s">
        <v>212</v>
      </c>
      <c r="C15" s="59">
        <v>0</v>
      </c>
      <c r="D15" s="59">
        <v>0</v>
      </c>
      <c r="E15" s="59">
        <v>0</v>
      </c>
      <c r="F15" s="660">
        <f t="shared" si="0"/>
        <v>0</v>
      </c>
    </row>
    <row r="16" spans="1:6" ht="11.25" customHeight="1">
      <c r="A16" s="152"/>
      <c r="B16" s="154" t="s">
        <v>213</v>
      </c>
      <c r="C16" s="59">
        <v>0</v>
      </c>
      <c r="D16" s="59">
        <v>0</v>
      </c>
      <c r="E16" s="59">
        <v>0</v>
      </c>
      <c r="F16" s="660">
        <f t="shared" si="0"/>
        <v>0</v>
      </c>
    </row>
    <row r="17" spans="1:9" ht="11.25" customHeight="1">
      <c r="A17" s="152" t="s">
        <v>249</v>
      </c>
      <c r="B17" s="153" t="s">
        <v>62</v>
      </c>
      <c r="C17" s="59">
        <v>1386</v>
      </c>
      <c r="D17" s="59">
        <v>3365</v>
      </c>
      <c r="E17" s="59">
        <v>0</v>
      </c>
      <c r="F17" s="660">
        <f t="shared" si="0"/>
        <v>3365</v>
      </c>
      <c r="G17" s="688"/>
      <c r="H17" s="690"/>
      <c r="I17" s="691"/>
    </row>
    <row r="18" spans="1:6" ht="23.25" customHeight="1">
      <c r="A18" s="150" t="s">
        <v>95</v>
      </c>
      <c r="B18" s="155" t="s">
        <v>488</v>
      </c>
      <c r="C18" s="59">
        <f>SUM(C19:C20)</f>
        <v>0</v>
      </c>
      <c r="D18" s="59">
        <f>SUM(D19:D20)</f>
        <v>0</v>
      </c>
      <c r="E18" s="59">
        <f>SUM(E19:E20)</f>
        <v>0</v>
      </c>
      <c r="F18" s="660">
        <f t="shared" si="0"/>
        <v>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0</v>
      </c>
      <c r="D20" s="59">
        <v>0</v>
      </c>
      <c r="E20" s="59">
        <v>0</v>
      </c>
      <c r="F20" s="660">
        <f t="shared" si="0"/>
        <v>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3365</v>
      </c>
      <c r="E22" s="60">
        <f>SUM(E12,E13,E17,E18,E21)</f>
        <v>0</v>
      </c>
      <c r="F22" s="661">
        <f t="shared" si="0"/>
        <v>3365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3365</v>
      </c>
      <c r="E29" s="118">
        <f>SUM(E22,E28)</f>
        <v>0</v>
      </c>
      <c r="F29" s="662">
        <f t="shared" si="0"/>
        <v>3365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2303</v>
      </c>
      <c r="E31" s="59">
        <v>0</v>
      </c>
      <c r="F31" s="660">
        <f aca="true" t="shared" si="1" ref="F31:F39">SUM(D31:E31)</f>
        <v>2303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0</v>
      </c>
      <c r="F34" s="660">
        <f t="shared" si="1"/>
        <v>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422</v>
      </c>
      <c r="E38" s="59">
        <v>0</v>
      </c>
      <c r="F38" s="660">
        <f t="shared" si="1"/>
        <v>422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3365</v>
      </c>
      <c r="E39" s="118">
        <f>SUM(E31:E38)</f>
        <v>0</v>
      </c>
      <c r="F39" s="662">
        <f t="shared" si="1"/>
        <v>3365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0.00390625" style="0" customWidth="1"/>
    <col min="4" max="4" width="11.00390625" style="0" customWidth="1"/>
    <col min="6" max="6" width="11.421875" style="183" customWidth="1"/>
    <col min="8" max="8" width="9.140625" style="688" customWidth="1"/>
  </cols>
  <sheetData>
    <row r="3" spans="1:8" s="604" customFormat="1" ht="13.5" customHeight="1">
      <c r="A3" s="602" t="s">
        <v>273</v>
      </c>
      <c r="B3" s="602"/>
      <c r="C3" s="602"/>
      <c r="D3" s="602"/>
      <c r="E3" s="602"/>
      <c r="F3" s="603"/>
      <c r="H3" s="724"/>
    </row>
    <row r="4" spans="1:8" s="604" customFormat="1" ht="13.5" customHeight="1">
      <c r="A4" s="605" t="s">
        <v>425</v>
      </c>
      <c r="B4" s="606"/>
      <c r="C4" s="607"/>
      <c r="D4" s="607"/>
      <c r="E4" s="607"/>
      <c r="F4" s="607"/>
      <c r="H4" s="724"/>
    </row>
    <row r="5" spans="1:8" s="604" customFormat="1" ht="13.5" customHeight="1">
      <c r="A5" s="606" t="s">
        <v>588</v>
      </c>
      <c r="B5" s="606"/>
      <c r="C5" s="607"/>
      <c r="D5" s="607"/>
      <c r="E5" s="607"/>
      <c r="F5" s="607"/>
      <c r="H5" s="724"/>
    </row>
    <row r="6" spans="1:8" s="604" customFormat="1" ht="13.5" customHeight="1">
      <c r="A6" s="606"/>
      <c r="B6" s="606"/>
      <c r="C6" s="607"/>
      <c r="D6" s="607"/>
      <c r="E6" s="607"/>
      <c r="F6" s="607"/>
      <c r="H6" s="724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299</v>
      </c>
      <c r="C8" s="26"/>
      <c r="D8" s="26"/>
      <c r="E8" s="512"/>
      <c r="F8" s="621" t="s">
        <v>524</v>
      </c>
    </row>
    <row r="9" spans="1:8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  <c r="H9" s="725"/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432</v>
      </c>
      <c r="D12" s="59">
        <v>432</v>
      </c>
      <c r="E12" s="59">
        <v>0</v>
      </c>
      <c r="F12" s="660">
        <f aca="true" t="shared" si="0" ref="F12:F29">SUM(D12:E12)</f>
        <v>432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0</v>
      </c>
      <c r="E13" s="59">
        <f>SUM(E14:E16)</f>
        <v>0</v>
      </c>
      <c r="F13" s="660">
        <f t="shared" si="0"/>
        <v>0</v>
      </c>
    </row>
    <row r="14" spans="1:6" ht="11.25" customHeight="1">
      <c r="A14" s="152"/>
      <c r="B14" s="154" t="s">
        <v>375</v>
      </c>
      <c r="C14" s="59">
        <v>0</v>
      </c>
      <c r="D14" s="59">
        <v>0</v>
      </c>
      <c r="E14" s="59">
        <v>0</v>
      </c>
      <c r="F14" s="660">
        <f t="shared" si="0"/>
        <v>0</v>
      </c>
    </row>
    <row r="15" spans="1:6" ht="11.25" customHeight="1">
      <c r="A15" s="152"/>
      <c r="B15" s="154" t="s">
        <v>212</v>
      </c>
      <c r="C15" s="59">
        <v>0</v>
      </c>
      <c r="D15" s="59">
        <v>0</v>
      </c>
      <c r="E15" s="59">
        <v>0</v>
      </c>
      <c r="F15" s="660">
        <f t="shared" si="0"/>
        <v>0</v>
      </c>
    </row>
    <row r="16" spans="1:6" ht="11.25" customHeight="1">
      <c r="A16" s="152"/>
      <c r="B16" s="154" t="s">
        <v>213</v>
      </c>
      <c r="C16" s="59">
        <v>0</v>
      </c>
      <c r="D16" s="59">
        <v>0</v>
      </c>
      <c r="E16" s="59">
        <v>0</v>
      </c>
      <c r="F16" s="660">
        <f t="shared" si="0"/>
        <v>0</v>
      </c>
    </row>
    <row r="17" spans="1:9" ht="11.25" customHeight="1">
      <c r="A17" s="152" t="s">
        <v>249</v>
      </c>
      <c r="B17" s="153" t="s">
        <v>62</v>
      </c>
      <c r="C17" s="59">
        <v>954</v>
      </c>
      <c r="D17" s="59">
        <v>2631</v>
      </c>
      <c r="E17" s="59">
        <v>0</v>
      </c>
      <c r="F17" s="660">
        <f t="shared" si="0"/>
        <v>2631</v>
      </c>
      <c r="H17" s="690"/>
      <c r="I17" s="691"/>
    </row>
    <row r="18" spans="1:6" ht="23.25" customHeight="1">
      <c r="A18" s="150" t="s">
        <v>95</v>
      </c>
      <c r="B18" s="155" t="s">
        <v>488</v>
      </c>
      <c r="C18" s="59">
        <f>SUM(C19:C20)</f>
        <v>0</v>
      </c>
      <c r="D18" s="59">
        <f>SUM(D19:D20)</f>
        <v>0</v>
      </c>
      <c r="E18" s="59">
        <f>SUM(E19:E20)</f>
        <v>0</v>
      </c>
      <c r="F18" s="660">
        <f t="shared" si="0"/>
        <v>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0</v>
      </c>
      <c r="D20" s="59">
        <v>0</v>
      </c>
      <c r="E20" s="59">
        <v>0</v>
      </c>
      <c r="F20" s="660">
        <f t="shared" si="0"/>
        <v>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3063</v>
      </c>
      <c r="E22" s="60">
        <f>SUM(E12,E13,E17,E18,E21)</f>
        <v>0</v>
      </c>
      <c r="F22" s="661">
        <f t="shared" si="0"/>
        <v>3063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3063</v>
      </c>
      <c r="E29" s="118">
        <f>SUM(E22,E28)</f>
        <v>0</v>
      </c>
      <c r="F29" s="662">
        <f t="shared" si="0"/>
        <v>3063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2203</v>
      </c>
      <c r="E31" s="59">
        <v>0</v>
      </c>
      <c r="F31" s="660">
        <f aca="true" t="shared" si="1" ref="F31:F39">SUM(D31:E31)</f>
        <v>2203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0</v>
      </c>
      <c r="F34" s="660">
        <f t="shared" si="1"/>
        <v>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220</v>
      </c>
      <c r="E38" s="59">
        <v>0</v>
      </c>
      <c r="F38" s="660">
        <f t="shared" si="1"/>
        <v>220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3063</v>
      </c>
      <c r="E39" s="118">
        <f>SUM(E31:E38)</f>
        <v>0</v>
      </c>
      <c r="F39" s="662">
        <f t="shared" si="1"/>
        <v>3063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G4" sqref="G1:Y16384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57421875" style="0" customWidth="1"/>
    <col min="4" max="4" width="11.140625" style="0" customWidth="1"/>
    <col min="6" max="6" width="11.140625" style="183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03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07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07"/>
    </row>
    <row r="6" spans="1:6" s="604" customFormat="1" ht="13.5" customHeight="1">
      <c r="A6" s="606"/>
      <c r="B6" s="606"/>
      <c r="C6" s="607"/>
      <c r="D6" s="607"/>
      <c r="E6" s="607"/>
      <c r="F6" s="607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300</v>
      </c>
      <c r="C8" s="26"/>
      <c r="D8" s="26"/>
      <c r="E8" s="512"/>
      <c r="F8" s="621" t="s">
        <v>524</v>
      </c>
    </row>
    <row r="9" spans="1:6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210</v>
      </c>
      <c r="D12" s="59">
        <v>210</v>
      </c>
      <c r="E12" s="59">
        <v>0</v>
      </c>
      <c r="F12" s="660">
        <f aca="true" t="shared" si="0" ref="F12:F29">SUM(D12:E12)</f>
        <v>210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0</v>
      </c>
      <c r="E13" s="59">
        <f>SUM(E14:E16)</f>
        <v>0</v>
      </c>
      <c r="F13" s="660">
        <f t="shared" si="0"/>
        <v>0</v>
      </c>
    </row>
    <row r="14" spans="1:6" ht="11.25" customHeight="1">
      <c r="A14" s="152"/>
      <c r="B14" s="154" t="s">
        <v>375</v>
      </c>
      <c r="C14" s="59">
        <v>0</v>
      </c>
      <c r="D14" s="59">
        <v>0</v>
      </c>
      <c r="E14" s="59">
        <v>0</v>
      </c>
      <c r="F14" s="660">
        <f t="shared" si="0"/>
        <v>0</v>
      </c>
    </row>
    <row r="15" spans="1:6" ht="11.25" customHeight="1">
      <c r="A15" s="152"/>
      <c r="B15" s="154" t="s">
        <v>212</v>
      </c>
      <c r="C15" s="59">
        <v>0</v>
      </c>
      <c r="D15" s="59">
        <v>0</v>
      </c>
      <c r="E15" s="59">
        <v>0</v>
      </c>
      <c r="F15" s="660">
        <f t="shared" si="0"/>
        <v>0</v>
      </c>
    </row>
    <row r="16" spans="1:6" ht="11.25" customHeight="1">
      <c r="A16" s="152"/>
      <c r="B16" s="154" t="s">
        <v>213</v>
      </c>
      <c r="C16" s="59">
        <v>0</v>
      </c>
      <c r="D16" s="59">
        <v>0</v>
      </c>
      <c r="E16" s="59">
        <v>0</v>
      </c>
      <c r="F16" s="660">
        <f t="shared" si="0"/>
        <v>0</v>
      </c>
    </row>
    <row r="17" spans="1:6" ht="11.25" customHeight="1">
      <c r="A17" s="152" t="s">
        <v>249</v>
      </c>
      <c r="B17" s="153" t="s">
        <v>62</v>
      </c>
      <c r="C17" s="59">
        <v>1081</v>
      </c>
      <c r="D17" s="59">
        <v>2085</v>
      </c>
      <c r="E17" s="59">
        <v>295</v>
      </c>
      <c r="F17" s="660">
        <f t="shared" si="0"/>
        <v>2380</v>
      </c>
    </row>
    <row r="18" spans="1:6" ht="23.25" customHeight="1">
      <c r="A18" s="150" t="s">
        <v>95</v>
      </c>
      <c r="B18" s="155" t="s">
        <v>488</v>
      </c>
      <c r="C18" s="59">
        <f>SUM(C19:C20)</f>
        <v>95</v>
      </c>
      <c r="D18" s="59">
        <f>SUM(D19:D20)</f>
        <v>195</v>
      </c>
      <c r="E18" s="59">
        <f>SUM(E19:E20)</f>
        <v>-95</v>
      </c>
      <c r="F18" s="660">
        <f t="shared" si="0"/>
        <v>100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95</v>
      </c>
      <c r="D20" s="59">
        <v>195</v>
      </c>
      <c r="E20" s="59">
        <v>-95</v>
      </c>
      <c r="F20" s="660">
        <f t="shared" si="0"/>
        <v>100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2490</v>
      </c>
      <c r="E22" s="60">
        <f>SUM(E12,E13,E17,E18,E21)</f>
        <v>200</v>
      </c>
      <c r="F22" s="661">
        <f t="shared" si="0"/>
        <v>2690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2490</v>
      </c>
      <c r="E29" s="118">
        <f>SUM(E22,E28)</f>
        <v>200</v>
      </c>
      <c r="F29" s="662">
        <f t="shared" si="0"/>
        <v>2690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1553</v>
      </c>
      <c r="E31" s="59">
        <v>0</v>
      </c>
      <c r="F31" s="660">
        <f aca="true" t="shared" si="1" ref="F31:F39">SUM(D31:E31)</f>
        <v>1553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100</v>
      </c>
      <c r="F34" s="660">
        <f t="shared" si="1"/>
        <v>100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100</v>
      </c>
      <c r="F35" s="660">
        <f t="shared" si="1"/>
        <v>100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297</v>
      </c>
      <c r="E38" s="59">
        <v>0</v>
      </c>
      <c r="F38" s="660">
        <f t="shared" si="1"/>
        <v>297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2490</v>
      </c>
      <c r="E39" s="118">
        <f>SUM(E31:E38)</f>
        <v>200</v>
      </c>
      <c r="F39" s="662">
        <f t="shared" si="1"/>
        <v>2690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G1" sqref="G1:R16384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3" width="10.140625" style="0" customWidth="1"/>
    <col min="4" max="4" width="11.00390625" style="0" customWidth="1"/>
    <col min="6" max="6" width="11.7109375" style="183" customWidth="1"/>
  </cols>
  <sheetData>
    <row r="3" spans="1:6" s="604" customFormat="1" ht="13.5" customHeight="1">
      <c r="A3" s="602" t="s">
        <v>273</v>
      </c>
      <c r="B3" s="602"/>
      <c r="C3" s="602"/>
      <c r="D3" s="602"/>
      <c r="E3" s="602"/>
      <c r="F3" s="603"/>
    </row>
    <row r="4" spans="1:6" s="604" customFormat="1" ht="13.5" customHeight="1">
      <c r="A4" s="605" t="s">
        <v>425</v>
      </c>
      <c r="B4" s="606"/>
      <c r="C4" s="607"/>
      <c r="D4" s="607"/>
      <c r="E4" s="607"/>
      <c r="F4" s="607"/>
    </row>
    <row r="5" spans="1:6" s="604" customFormat="1" ht="13.5" customHeight="1">
      <c r="A5" s="606" t="s">
        <v>588</v>
      </c>
      <c r="B5" s="606"/>
      <c r="C5" s="607"/>
      <c r="D5" s="607"/>
      <c r="E5" s="607"/>
      <c r="F5" s="607"/>
    </row>
    <row r="6" spans="1:6" s="604" customFormat="1" ht="13.5" customHeight="1">
      <c r="A6" s="606"/>
      <c r="B6" s="606"/>
      <c r="C6" s="607"/>
      <c r="D6" s="607"/>
      <c r="E6" s="607"/>
      <c r="F6" s="607"/>
    </row>
    <row r="7" spans="1:6" ht="12.75" customHeight="1">
      <c r="A7" s="68"/>
      <c r="B7" s="68"/>
      <c r="C7" s="144"/>
      <c r="D7" s="144"/>
      <c r="E7" s="144"/>
      <c r="F7" s="144"/>
    </row>
    <row r="8" spans="1:6" ht="15.75">
      <c r="A8" s="608" t="s">
        <v>301</v>
      </c>
      <c r="C8" s="26"/>
      <c r="D8" s="26"/>
      <c r="E8" s="512"/>
      <c r="F8" s="621" t="s">
        <v>524</v>
      </c>
    </row>
    <row r="9" spans="1:6" s="333" customFormat="1" ht="36.75" customHeight="1">
      <c r="A9" s="685" t="s">
        <v>274</v>
      </c>
      <c r="B9" s="686" t="s">
        <v>525</v>
      </c>
      <c r="C9" s="440" t="s">
        <v>50</v>
      </c>
      <c r="D9" s="622" t="s">
        <v>636</v>
      </c>
      <c r="E9" s="541" t="s">
        <v>541</v>
      </c>
      <c r="F9" s="622" t="s">
        <v>679</v>
      </c>
    </row>
    <row r="10" spans="1:6" ht="9" customHeight="1">
      <c r="A10" s="145" t="s">
        <v>247</v>
      </c>
      <c r="B10" s="146" t="s">
        <v>248</v>
      </c>
      <c r="C10" s="31" t="s">
        <v>249</v>
      </c>
      <c r="D10" s="31" t="s">
        <v>95</v>
      </c>
      <c r="E10" s="31" t="s">
        <v>96</v>
      </c>
      <c r="F10" s="31" t="s">
        <v>97</v>
      </c>
    </row>
    <row r="11" spans="1:6" ht="12.75" customHeight="1">
      <c r="A11" s="145"/>
      <c r="B11" s="149" t="s">
        <v>59</v>
      </c>
      <c r="C11" s="147"/>
      <c r="D11" s="147"/>
      <c r="E11" s="147"/>
      <c r="F11" s="148"/>
    </row>
    <row r="12" spans="1:6" ht="11.25" customHeight="1">
      <c r="A12" s="150" t="s">
        <v>247</v>
      </c>
      <c r="B12" s="151" t="s">
        <v>60</v>
      </c>
      <c r="C12" s="59">
        <v>360</v>
      </c>
      <c r="D12" s="59">
        <v>458</v>
      </c>
      <c r="E12" s="59">
        <v>0</v>
      </c>
      <c r="F12" s="660">
        <f aca="true" t="shared" si="0" ref="F12:F29">SUM(D12:E12)</f>
        <v>458</v>
      </c>
    </row>
    <row r="13" spans="1:6" ht="11.25" customHeight="1">
      <c r="A13" s="152" t="s">
        <v>248</v>
      </c>
      <c r="B13" s="153" t="s">
        <v>61</v>
      </c>
      <c r="C13" s="59">
        <f>SUM(C14:C16)</f>
        <v>0</v>
      </c>
      <c r="D13" s="59">
        <f>SUM(D14:D16)</f>
        <v>34</v>
      </c>
      <c r="E13" s="59">
        <f>SUM(E14:E16)</f>
        <v>0</v>
      </c>
      <c r="F13" s="660">
        <f t="shared" si="0"/>
        <v>34</v>
      </c>
    </row>
    <row r="14" spans="1:6" ht="11.25" customHeight="1">
      <c r="A14" s="152"/>
      <c r="B14" s="154" t="s">
        <v>375</v>
      </c>
      <c r="C14" s="59">
        <v>0</v>
      </c>
      <c r="D14" s="59">
        <v>28</v>
      </c>
      <c r="E14" s="59">
        <v>0</v>
      </c>
      <c r="F14" s="660">
        <f t="shared" si="0"/>
        <v>28</v>
      </c>
    </row>
    <row r="15" spans="1:6" ht="11.25" customHeight="1">
      <c r="A15" s="152"/>
      <c r="B15" s="154" t="s">
        <v>212</v>
      </c>
      <c r="C15" s="59">
        <v>0</v>
      </c>
      <c r="D15" s="59">
        <v>3</v>
      </c>
      <c r="E15" s="59">
        <v>0</v>
      </c>
      <c r="F15" s="660">
        <f t="shared" si="0"/>
        <v>3</v>
      </c>
    </row>
    <row r="16" spans="1:6" ht="11.25" customHeight="1">
      <c r="A16" s="152"/>
      <c r="B16" s="154" t="s">
        <v>213</v>
      </c>
      <c r="C16" s="59">
        <v>0</v>
      </c>
      <c r="D16" s="59">
        <v>3</v>
      </c>
      <c r="E16" s="59">
        <v>0</v>
      </c>
      <c r="F16" s="660">
        <f t="shared" si="0"/>
        <v>3</v>
      </c>
    </row>
    <row r="17" spans="1:6" ht="11.25" customHeight="1">
      <c r="A17" s="152" t="s">
        <v>249</v>
      </c>
      <c r="B17" s="153" t="s">
        <v>62</v>
      </c>
      <c r="C17" s="59">
        <v>1026</v>
      </c>
      <c r="D17" s="59">
        <v>2565</v>
      </c>
      <c r="E17" s="59">
        <v>200</v>
      </c>
      <c r="F17" s="660">
        <f t="shared" si="0"/>
        <v>2765</v>
      </c>
    </row>
    <row r="18" spans="1:6" ht="23.25" customHeight="1">
      <c r="A18" s="150" t="s">
        <v>95</v>
      </c>
      <c r="B18" s="155" t="s">
        <v>488</v>
      </c>
      <c r="C18" s="59">
        <f>SUM(C19:C20)</f>
        <v>0</v>
      </c>
      <c r="D18" s="59">
        <f>SUM(D19:D20)</f>
        <v>0</v>
      </c>
      <c r="E18" s="59">
        <f>SUM(E19:E20)</f>
        <v>0</v>
      </c>
      <c r="F18" s="660">
        <f t="shared" si="0"/>
        <v>0</v>
      </c>
    </row>
    <row r="19" spans="1:6" ht="11.25" customHeight="1">
      <c r="A19" s="150"/>
      <c r="B19" s="616" t="s">
        <v>466</v>
      </c>
      <c r="C19" s="59">
        <v>0</v>
      </c>
      <c r="D19" s="59">
        <v>0</v>
      </c>
      <c r="E19" s="59">
        <v>0</v>
      </c>
      <c r="F19" s="660">
        <f t="shared" si="0"/>
        <v>0</v>
      </c>
    </row>
    <row r="20" spans="1:6" ht="23.25" customHeight="1">
      <c r="A20" s="150"/>
      <c r="B20" s="616" t="s">
        <v>489</v>
      </c>
      <c r="C20" s="59">
        <v>0</v>
      </c>
      <c r="D20" s="59">
        <v>0</v>
      </c>
      <c r="E20" s="59">
        <v>0</v>
      </c>
      <c r="F20" s="660">
        <f t="shared" si="0"/>
        <v>0</v>
      </c>
    </row>
    <row r="21" spans="1:6" ht="11.25" customHeight="1">
      <c r="A21" s="156" t="s">
        <v>96</v>
      </c>
      <c r="B21" s="151" t="s">
        <v>192</v>
      </c>
      <c r="C21" s="59">
        <v>0</v>
      </c>
      <c r="D21" s="59">
        <v>0</v>
      </c>
      <c r="E21" s="59">
        <v>0</v>
      </c>
      <c r="F21" s="660">
        <f t="shared" si="0"/>
        <v>0</v>
      </c>
    </row>
    <row r="22" spans="1:6" ht="12" customHeight="1">
      <c r="A22" s="157" t="s">
        <v>97</v>
      </c>
      <c r="B22" s="158" t="s">
        <v>379</v>
      </c>
      <c r="C22" s="60">
        <f>SUM(C12,C13,C17,C18,C21)</f>
        <v>1386</v>
      </c>
      <c r="D22" s="60">
        <f>SUM(D12,D13,D17,D18,D21)</f>
        <v>3057</v>
      </c>
      <c r="E22" s="60">
        <f>SUM(E12,E13,E17,E18,E21)</f>
        <v>200</v>
      </c>
      <c r="F22" s="661">
        <f t="shared" si="0"/>
        <v>3257</v>
      </c>
    </row>
    <row r="23" spans="1:6" ht="11.25" customHeight="1">
      <c r="A23" s="156" t="s">
        <v>98</v>
      </c>
      <c r="B23" s="155" t="s">
        <v>193</v>
      </c>
      <c r="C23" s="59">
        <v>0</v>
      </c>
      <c r="D23" s="59">
        <v>0</v>
      </c>
      <c r="E23" s="59">
        <v>0</v>
      </c>
      <c r="F23" s="660">
        <f t="shared" si="0"/>
        <v>0</v>
      </c>
    </row>
    <row r="24" spans="1:6" ht="11.25" customHeight="1">
      <c r="A24" s="150" t="s">
        <v>99</v>
      </c>
      <c r="B24" s="151" t="s">
        <v>217</v>
      </c>
      <c r="C24" s="59">
        <v>0</v>
      </c>
      <c r="D24" s="59">
        <v>0</v>
      </c>
      <c r="E24" s="59">
        <v>0</v>
      </c>
      <c r="F24" s="660">
        <f t="shared" si="0"/>
        <v>0</v>
      </c>
    </row>
    <row r="25" spans="1:6" ht="24.75" customHeight="1">
      <c r="A25" s="150" t="s">
        <v>100</v>
      </c>
      <c r="B25" s="151" t="s">
        <v>210</v>
      </c>
      <c r="C25" s="59">
        <v>0</v>
      </c>
      <c r="D25" s="59">
        <v>0</v>
      </c>
      <c r="E25" s="59">
        <v>0</v>
      </c>
      <c r="F25" s="660">
        <f t="shared" si="0"/>
        <v>0</v>
      </c>
    </row>
    <row r="26" spans="1:6" ht="11.25" customHeight="1">
      <c r="A26" s="150"/>
      <c r="B26" s="617" t="s">
        <v>468</v>
      </c>
      <c r="C26" s="59">
        <v>0</v>
      </c>
      <c r="D26" s="59">
        <v>0</v>
      </c>
      <c r="E26" s="59">
        <v>0</v>
      </c>
      <c r="F26" s="660">
        <f t="shared" si="0"/>
        <v>0</v>
      </c>
    </row>
    <row r="27" spans="1:6" ht="24" customHeight="1">
      <c r="A27" s="150"/>
      <c r="B27" s="617" t="s">
        <v>342</v>
      </c>
      <c r="C27" s="59">
        <v>0</v>
      </c>
      <c r="D27" s="59">
        <v>0</v>
      </c>
      <c r="E27" s="59">
        <v>0</v>
      </c>
      <c r="F27" s="660">
        <f t="shared" si="0"/>
        <v>0</v>
      </c>
    </row>
    <row r="28" spans="1:6" ht="24" customHeight="1">
      <c r="A28" s="159" t="s">
        <v>101</v>
      </c>
      <c r="B28" s="158" t="s">
        <v>347</v>
      </c>
      <c r="C28" s="60">
        <f>SUM(C23:C27)</f>
        <v>0</v>
      </c>
      <c r="D28" s="60">
        <f>SUM(D23:D27)</f>
        <v>0</v>
      </c>
      <c r="E28" s="60">
        <f>SUM(E23:E27)</f>
        <v>0</v>
      </c>
      <c r="F28" s="661">
        <f t="shared" si="0"/>
        <v>0</v>
      </c>
    </row>
    <row r="29" spans="1:6" ht="12.75" customHeight="1">
      <c r="A29" s="160"/>
      <c r="B29" s="161" t="s">
        <v>343</v>
      </c>
      <c r="C29" s="118">
        <f>SUM(C22,C28)</f>
        <v>1386</v>
      </c>
      <c r="D29" s="118">
        <f>SUM(D22,D28)</f>
        <v>3057</v>
      </c>
      <c r="E29" s="118">
        <f>SUM(E22,E28)</f>
        <v>200</v>
      </c>
      <c r="F29" s="662">
        <f t="shared" si="0"/>
        <v>3257</v>
      </c>
    </row>
    <row r="30" spans="1:6" ht="12.75" customHeight="1">
      <c r="A30" s="65"/>
      <c r="B30" s="611" t="s">
        <v>452</v>
      </c>
      <c r="C30" s="59"/>
      <c r="D30" s="59"/>
      <c r="E30" s="59"/>
      <c r="F30" s="660"/>
    </row>
    <row r="31" spans="1:6" ht="11.25" customHeight="1">
      <c r="A31" s="150" t="s">
        <v>102</v>
      </c>
      <c r="B31" s="612" t="s">
        <v>423</v>
      </c>
      <c r="C31" s="59">
        <v>746</v>
      </c>
      <c r="D31" s="59">
        <v>1763</v>
      </c>
      <c r="E31" s="59">
        <v>200</v>
      </c>
      <c r="F31" s="660">
        <f aca="true" t="shared" si="1" ref="F31:F39">SUM(D31:E31)</f>
        <v>1963</v>
      </c>
    </row>
    <row r="32" spans="1:6" ht="11.25" customHeight="1">
      <c r="A32" s="150" t="s">
        <v>103</v>
      </c>
      <c r="B32" s="612" t="s">
        <v>424</v>
      </c>
      <c r="C32" s="59">
        <v>640</v>
      </c>
      <c r="D32" s="59">
        <v>640</v>
      </c>
      <c r="E32" s="59">
        <v>0</v>
      </c>
      <c r="F32" s="660">
        <f t="shared" si="1"/>
        <v>640</v>
      </c>
    </row>
    <row r="33" spans="1:6" ht="11.25" customHeight="1">
      <c r="A33" s="150" t="s">
        <v>104</v>
      </c>
      <c r="B33" s="612" t="s">
        <v>341</v>
      </c>
      <c r="C33" s="59">
        <v>0</v>
      </c>
      <c r="D33" s="59">
        <v>0</v>
      </c>
      <c r="E33" s="59">
        <v>0</v>
      </c>
      <c r="F33" s="660">
        <f t="shared" si="1"/>
        <v>0</v>
      </c>
    </row>
    <row r="34" spans="1:6" ht="11.25" customHeight="1">
      <c r="A34" s="150" t="s">
        <v>283</v>
      </c>
      <c r="B34" s="612" t="s">
        <v>344</v>
      </c>
      <c r="C34" s="59">
        <v>0</v>
      </c>
      <c r="D34" s="59">
        <v>0</v>
      </c>
      <c r="E34" s="59">
        <v>0</v>
      </c>
      <c r="F34" s="660">
        <f t="shared" si="1"/>
        <v>0</v>
      </c>
    </row>
    <row r="35" spans="1:6" ht="24" customHeight="1">
      <c r="A35" s="150" t="s">
        <v>284</v>
      </c>
      <c r="B35" s="618" t="s">
        <v>345</v>
      </c>
      <c r="C35" s="59">
        <v>0</v>
      </c>
      <c r="D35" s="59">
        <v>0</v>
      </c>
      <c r="E35" s="59">
        <v>0</v>
      </c>
      <c r="F35" s="660">
        <f t="shared" si="1"/>
        <v>0</v>
      </c>
    </row>
    <row r="36" spans="1:6" ht="11.25" customHeight="1">
      <c r="A36" s="150" t="s">
        <v>395</v>
      </c>
      <c r="B36" s="612" t="s">
        <v>207</v>
      </c>
      <c r="C36" s="59">
        <v>0</v>
      </c>
      <c r="D36" s="59">
        <v>0</v>
      </c>
      <c r="E36" s="59">
        <v>0</v>
      </c>
      <c r="F36" s="660">
        <f t="shared" si="1"/>
        <v>0</v>
      </c>
    </row>
    <row r="37" spans="1:6" ht="24" customHeight="1">
      <c r="A37" s="150" t="s">
        <v>399</v>
      </c>
      <c r="B37" s="618" t="s">
        <v>346</v>
      </c>
      <c r="C37" s="59">
        <v>0</v>
      </c>
      <c r="D37" s="59">
        <v>0</v>
      </c>
      <c r="E37" s="59">
        <v>0</v>
      </c>
      <c r="F37" s="660">
        <f t="shared" si="1"/>
        <v>0</v>
      </c>
    </row>
    <row r="38" spans="1:6" ht="11.25" customHeight="1">
      <c r="A38" s="150" t="s">
        <v>401</v>
      </c>
      <c r="B38" s="612" t="s">
        <v>367</v>
      </c>
      <c r="C38" s="59">
        <v>0</v>
      </c>
      <c r="D38" s="59">
        <v>654</v>
      </c>
      <c r="E38" s="59">
        <v>0</v>
      </c>
      <c r="F38" s="660">
        <f t="shared" si="1"/>
        <v>654</v>
      </c>
    </row>
    <row r="39" spans="1:6" ht="12.75" customHeight="1">
      <c r="A39" s="64"/>
      <c r="B39" s="615" t="s">
        <v>348</v>
      </c>
      <c r="C39" s="118">
        <f>SUM(C31:C38)</f>
        <v>1386</v>
      </c>
      <c r="D39" s="118">
        <f>SUM(D31:D38)</f>
        <v>3057</v>
      </c>
      <c r="E39" s="118">
        <f>SUM(E31:E38)</f>
        <v>200</v>
      </c>
      <c r="F39" s="662">
        <f t="shared" si="1"/>
        <v>3257</v>
      </c>
    </row>
    <row r="40" spans="1:6" ht="15" customHeight="1">
      <c r="A40" s="162"/>
      <c r="B40" s="162"/>
      <c r="C40" s="613"/>
      <c r="D40" s="613"/>
      <c r="E40" s="613"/>
      <c r="F40" s="614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" sqref="A9"/>
    </sheetView>
  </sheetViews>
  <sheetFormatPr defaultColWidth="9.140625" defaultRowHeight="12.75"/>
  <cols>
    <col min="1" max="1" width="35.57421875" style="26" customWidth="1"/>
    <col min="2" max="2" width="10.00390625" style="26" customWidth="1"/>
    <col min="3" max="3" width="7.7109375" style="26" customWidth="1"/>
    <col min="4" max="4" width="9.421875" style="26" bestFit="1" customWidth="1"/>
    <col min="5" max="5" width="9.7109375" style="26" customWidth="1"/>
    <col min="6" max="6" width="7.8515625" style="26" customWidth="1"/>
    <col min="7" max="7" width="9.421875" style="26" bestFit="1" customWidth="1"/>
    <col min="8" max="8" width="10.00390625" style="26" customWidth="1"/>
    <col min="9" max="9" width="7.57421875" style="26" customWidth="1"/>
    <col min="10" max="10" width="9.421875" style="26" bestFit="1" customWidth="1"/>
    <col min="11" max="11" width="9.8515625" style="26" customWidth="1"/>
    <col min="12" max="12" width="7.8515625" style="26" customWidth="1"/>
    <col min="13" max="13" width="10.00390625" style="26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1</v>
      </c>
      <c r="C4" s="168"/>
      <c r="D4" s="119"/>
      <c r="E4" s="926">
        <v>2</v>
      </c>
      <c r="F4" s="943"/>
      <c r="G4" s="927"/>
      <c r="H4" s="894">
        <v>3</v>
      </c>
      <c r="I4" s="168"/>
      <c r="J4" s="119"/>
      <c r="K4" s="894">
        <v>4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681</v>
      </c>
      <c r="C6" s="168"/>
      <c r="D6" s="119"/>
      <c r="E6" s="894" t="s">
        <v>682</v>
      </c>
      <c r="F6" s="168"/>
      <c r="G6" s="119"/>
      <c r="H6" s="894" t="s">
        <v>683</v>
      </c>
      <c r="I6" s="168"/>
      <c r="J6" s="119"/>
      <c r="K6" s="895" t="s">
        <v>684</v>
      </c>
      <c r="L6" s="168"/>
      <c r="M6" s="119"/>
    </row>
    <row r="7" spans="1:13" ht="12.75">
      <c r="A7" s="892" t="s">
        <v>145</v>
      </c>
      <c r="B7" s="894">
        <v>805212</v>
      </c>
      <c r="C7" s="168"/>
      <c r="D7" s="119"/>
      <c r="E7" s="894">
        <v>924014</v>
      </c>
      <c r="F7" s="168"/>
      <c r="G7" s="119"/>
      <c r="H7" s="894">
        <v>801313</v>
      </c>
      <c r="I7" s="168"/>
      <c r="J7" s="119"/>
      <c r="K7" s="926">
        <v>805410</v>
      </c>
      <c r="L7" s="943"/>
      <c r="M7" s="927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900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44</v>
      </c>
      <c r="C11" s="901"/>
      <c r="D11" s="901">
        <f>+B11+C11</f>
        <v>44</v>
      </c>
      <c r="E11" s="901">
        <v>8</v>
      </c>
      <c r="F11" s="901"/>
      <c r="G11" s="901">
        <f>+E11+F11</f>
        <v>8</v>
      </c>
      <c r="H11" s="901">
        <v>49.5</v>
      </c>
      <c r="I11" s="901"/>
      <c r="J11" s="901">
        <f>+H11+I11</f>
        <v>49.5</v>
      </c>
      <c r="K11" s="901">
        <v>15.5</v>
      </c>
      <c r="L11" s="901"/>
      <c r="M11" s="901">
        <f>+K11+L11</f>
        <v>15.5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v>118328</v>
      </c>
      <c r="C13" s="412">
        <v>-600</v>
      </c>
      <c r="D13" s="412">
        <f>+B13+C13</f>
        <v>117728</v>
      </c>
      <c r="E13" s="412">
        <f>19688+2460</f>
        <v>22148</v>
      </c>
      <c r="F13" s="412">
        <v>0</v>
      </c>
      <c r="G13" s="412">
        <f>+E13+F13</f>
        <v>22148</v>
      </c>
      <c r="H13" s="412">
        <f>117931+7588</f>
        <v>125519</v>
      </c>
      <c r="I13" s="412">
        <v>0</v>
      </c>
      <c r="J13" s="412">
        <f>+H13+I13</f>
        <v>125519</v>
      </c>
      <c r="K13" s="412">
        <f>67505+4691</f>
        <v>72196</v>
      </c>
      <c r="L13" s="412">
        <v>-800</v>
      </c>
      <c r="M13" s="412">
        <f>+K13+L13</f>
        <v>71396</v>
      </c>
    </row>
    <row r="14" spans="1:13" s="388" customFormat="1" ht="12.75">
      <c r="A14" s="629" t="s">
        <v>519</v>
      </c>
      <c r="B14" s="412">
        <v>37357</v>
      </c>
      <c r="C14" s="412"/>
      <c r="D14" s="412">
        <f>+B14+C14</f>
        <v>37357</v>
      </c>
      <c r="E14" s="412">
        <f>6264+550</f>
        <v>6814</v>
      </c>
      <c r="F14" s="412">
        <v>0</v>
      </c>
      <c r="G14" s="412">
        <f>+E14+F14</f>
        <v>6814</v>
      </c>
      <c r="H14" s="412">
        <f>37829+2143</f>
        <v>39972</v>
      </c>
      <c r="I14" s="412">
        <v>0</v>
      </c>
      <c r="J14" s="412">
        <f>+H14+I14</f>
        <v>39972</v>
      </c>
      <c r="K14" s="412">
        <f>19660+1170</f>
        <v>20830</v>
      </c>
      <c r="L14" s="412">
        <f>-232-24</f>
        <v>-256</v>
      </c>
      <c r="M14" s="412">
        <f>+K14+L14</f>
        <v>20574</v>
      </c>
    </row>
    <row r="15" spans="1:13" s="388" customFormat="1" ht="12.75">
      <c r="A15" s="629" t="s">
        <v>520</v>
      </c>
      <c r="B15" s="412">
        <v>5725</v>
      </c>
      <c r="C15" s="412">
        <v>1281</v>
      </c>
      <c r="D15" s="412">
        <f>+B15+C15</f>
        <v>7006</v>
      </c>
      <c r="E15" s="412">
        <f>16513+653</f>
        <v>17166</v>
      </c>
      <c r="F15" s="412">
        <v>510</v>
      </c>
      <c r="G15" s="412">
        <f>+E15+F15</f>
        <v>17676</v>
      </c>
      <c r="H15" s="412">
        <f>9434+1690</f>
        <v>11124</v>
      </c>
      <c r="I15" s="412">
        <v>100</v>
      </c>
      <c r="J15" s="412">
        <f>+H15+I15</f>
        <v>11224</v>
      </c>
      <c r="K15" s="412">
        <f>34079+22256</f>
        <v>56335</v>
      </c>
      <c r="L15" s="412">
        <v>-2982</v>
      </c>
      <c r="M15" s="412">
        <f>+K15+L15</f>
        <v>53353</v>
      </c>
    </row>
    <row r="16" spans="1:13" s="388" customFormat="1" ht="24">
      <c r="A16" s="438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v>0</v>
      </c>
      <c r="F17" s="412"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v>0</v>
      </c>
      <c r="L17" s="412"/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161410</v>
      </c>
      <c r="C18" s="399">
        <f t="shared" si="0"/>
        <v>681</v>
      </c>
      <c r="D18" s="399">
        <f t="shared" si="0"/>
        <v>162091</v>
      </c>
      <c r="E18" s="399">
        <f t="shared" si="0"/>
        <v>46128</v>
      </c>
      <c r="F18" s="399">
        <f t="shared" si="0"/>
        <v>510</v>
      </c>
      <c r="G18" s="399">
        <f t="shared" si="0"/>
        <v>46638</v>
      </c>
      <c r="H18" s="399">
        <f t="shared" si="0"/>
        <v>176615</v>
      </c>
      <c r="I18" s="399">
        <f t="shared" si="0"/>
        <v>100</v>
      </c>
      <c r="J18" s="399">
        <f t="shared" si="0"/>
        <v>176715</v>
      </c>
      <c r="K18" s="399">
        <f t="shared" si="0"/>
        <v>149361</v>
      </c>
      <c r="L18" s="399">
        <f t="shared" si="0"/>
        <v>-4038</v>
      </c>
      <c r="M18" s="399">
        <f t="shared" si="0"/>
        <v>145323</v>
      </c>
    </row>
    <row r="19" spans="1:13" s="388" customFormat="1" ht="12.75">
      <c r="A19" s="629" t="s">
        <v>171</v>
      </c>
      <c r="B19" s="412">
        <v>6000</v>
      </c>
      <c r="C19" s="412">
        <v>-2600</v>
      </c>
      <c r="D19" s="412">
        <f>+B19+C19</f>
        <v>3400</v>
      </c>
      <c r="E19" s="412">
        <v>0</v>
      </c>
      <c r="F19" s="412">
        <v>0</v>
      </c>
      <c r="G19" s="412">
        <f>+E19+F19</f>
        <v>0</v>
      </c>
      <c r="H19" s="412">
        <v>0</v>
      </c>
      <c r="I19" s="412">
        <v>0</v>
      </c>
      <c r="J19" s="412">
        <f>+H19+I19</f>
        <v>0</v>
      </c>
      <c r="K19" s="412">
        <v>0</v>
      </c>
      <c r="L19" s="412">
        <v>0</v>
      </c>
      <c r="M19" s="412">
        <f>+K19+L19</f>
        <v>0</v>
      </c>
    </row>
    <row r="20" spans="1:13" s="388" customFormat="1" ht="12.75">
      <c r="A20" s="629" t="s">
        <v>172</v>
      </c>
      <c r="B20" s="412">
        <v>900</v>
      </c>
      <c r="C20" s="412">
        <v>-681</v>
      </c>
      <c r="D20" s="412">
        <f>+B20+C20</f>
        <v>219</v>
      </c>
      <c r="E20" s="412">
        <v>0</v>
      </c>
      <c r="F20" s="412">
        <v>0</v>
      </c>
      <c r="G20" s="412">
        <f>+E20+F20</f>
        <v>0</v>
      </c>
      <c r="H20" s="412">
        <v>1366</v>
      </c>
      <c r="I20" s="412">
        <v>0</v>
      </c>
      <c r="J20" s="412">
        <f>+H20+I20</f>
        <v>1366</v>
      </c>
      <c r="K20" s="412">
        <v>14</v>
      </c>
      <c r="L20" s="412">
        <v>0</v>
      </c>
      <c r="M20" s="412">
        <f>+K20+L20</f>
        <v>14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6900</v>
      </c>
      <c r="C22" s="399">
        <f t="shared" si="1"/>
        <v>-3281</v>
      </c>
      <c r="D22" s="399">
        <f t="shared" si="1"/>
        <v>3619</v>
      </c>
      <c r="E22" s="399">
        <f t="shared" si="1"/>
        <v>0</v>
      </c>
      <c r="F22" s="399">
        <f t="shared" si="1"/>
        <v>0</v>
      </c>
      <c r="G22" s="399">
        <f t="shared" si="1"/>
        <v>0</v>
      </c>
      <c r="H22" s="399">
        <f t="shared" si="1"/>
        <v>1366</v>
      </c>
      <c r="I22" s="399">
        <f t="shared" si="1"/>
        <v>0</v>
      </c>
      <c r="J22" s="399">
        <f t="shared" si="1"/>
        <v>1366</v>
      </c>
      <c r="K22" s="399">
        <f t="shared" si="1"/>
        <v>14</v>
      </c>
      <c r="L22" s="399">
        <f t="shared" si="1"/>
        <v>0</v>
      </c>
      <c r="M22" s="399">
        <f t="shared" si="1"/>
        <v>14</v>
      </c>
    </row>
    <row r="23" spans="1:13" s="902" customFormat="1" ht="12.75">
      <c r="A23" s="903" t="s">
        <v>86</v>
      </c>
      <c r="B23" s="399">
        <f aca="true" t="shared" si="2" ref="B23:M23">SUM(B18+B22)</f>
        <v>168310</v>
      </c>
      <c r="C23" s="399">
        <f t="shared" si="2"/>
        <v>-2600</v>
      </c>
      <c r="D23" s="399">
        <f t="shared" si="2"/>
        <v>165710</v>
      </c>
      <c r="E23" s="399">
        <f t="shared" si="2"/>
        <v>46128</v>
      </c>
      <c r="F23" s="399">
        <f t="shared" si="2"/>
        <v>510</v>
      </c>
      <c r="G23" s="399">
        <f t="shared" si="2"/>
        <v>46638</v>
      </c>
      <c r="H23" s="399">
        <f t="shared" si="2"/>
        <v>177981</v>
      </c>
      <c r="I23" s="399">
        <f t="shared" si="2"/>
        <v>100</v>
      </c>
      <c r="J23" s="399">
        <f t="shared" si="2"/>
        <v>178081</v>
      </c>
      <c r="K23" s="399">
        <f t="shared" si="2"/>
        <v>149375</v>
      </c>
      <c r="L23" s="399">
        <f t="shared" si="2"/>
        <v>-4038</v>
      </c>
      <c r="M23" s="399">
        <f t="shared" si="2"/>
        <v>145337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3.5" customHeight="1">
      <c r="A25" s="438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>
        <v>0</v>
      </c>
      <c r="I25" s="412">
        <v>0</v>
      </c>
      <c r="J25" s="412">
        <f aca="true" t="shared" si="5" ref="J25:J33">+H25+I25</f>
        <v>0</v>
      </c>
      <c r="K25" s="412">
        <v>0</v>
      </c>
      <c r="L25" s="412">
        <v>0</v>
      </c>
      <c r="M25" s="412">
        <f aca="true" t="shared" si="6" ref="M25:M33">+K25+L25</f>
        <v>0</v>
      </c>
    </row>
    <row r="26" spans="1:13" s="388" customFormat="1" ht="24">
      <c r="A26" s="438" t="s">
        <v>492</v>
      </c>
      <c r="B26" s="412">
        <v>0</v>
      </c>
      <c r="C26" s="412">
        <v>0</v>
      </c>
      <c r="D26" s="412">
        <f t="shared" si="3"/>
        <v>0</v>
      </c>
      <c r="E26" s="412">
        <v>1772</v>
      </c>
      <c r="F26" s="412">
        <v>0</v>
      </c>
      <c r="G26" s="412">
        <f t="shared" si="4"/>
        <v>1772</v>
      </c>
      <c r="H26" s="412">
        <v>0</v>
      </c>
      <c r="I26" s="412">
        <v>0</v>
      </c>
      <c r="J26" s="412">
        <f t="shared" si="5"/>
        <v>0</v>
      </c>
      <c r="K26" s="412">
        <v>19117</v>
      </c>
      <c r="L26" s="412">
        <v>0</v>
      </c>
      <c r="M26" s="412">
        <f t="shared" si="6"/>
        <v>19117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v>0</v>
      </c>
      <c r="F27" s="412">
        <v>0</v>
      </c>
      <c r="G27" s="412">
        <f t="shared" si="4"/>
        <v>0</v>
      </c>
      <c r="H27" s="412">
        <v>0</v>
      </c>
      <c r="I27" s="412">
        <v>0</v>
      </c>
      <c r="J27" s="412">
        <f t="shared" si="5"/>
        <v>0</v>
      </c>
      <c r="K27" s="412">
        <f aca="true" t="shared" si="7" ref="K27:L29">+I27+J27</f>
        <v>0</v>
      </c>
      <c r="L27" s="412">
        <f t="shared" si="7"/>
        <v>0</v>
      </c>
      <c r="M27" s="412">
        <f t="shared" si="6"/>
        <v>0</v>
      </c>
    </row>
    <row r="28" spans="1:13" s="388" customFormat="1" ht="12.75">
      <c r="A28" s="629" t="s">
        <v>164</v>
      </c>
      <c r="B28" s="412">
        <v>0</v>
      </c>
      <c r="C28" s="412">
        <v>0</v>
      </c>
      <c r="D28" s="412">
        <f t="shared" si="3"/>
        <v>0</v>
      </c>
      <c r="E28" s="412">
        <v>0</v>
      </c>
      <c r="F28" s="412">
        <v>0</v>
      </c>
      <c r="G28" s="412">
        <f t="shared" si="4"/>
        <v>0</v>
      </c>
      <c r="H28" s="412">
        <v>0</v>
      </c>
      <c r="I28" s="412">
        <v>0</v>
      </c>
      <c r="J28" s="412">
        <f t="shared" si="5"/>
        <v>0</v>
      </c>
      <c r="K28" s="412">
        <f t="shared" si="7"/>
        <v>0</v>
      </c>
      <c r="L28" s="412">
        <f t="shared" si="7"/>
        <v>0</v>
      </c>
      <c r="M28" s="412">
        <f t="shared" si="6"/>
        <v>0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4"/>
        <v>0</v>
      </c>
      <c r="H29" s="412">
        <v>0</v>
      </c>
      <c r="I29" s="412">
        <v>0</v>
      </c>
      <c r="J29" s="412">
        <f t="shared" si="5"/>
        <v>0</v>
      </c>
      <c r="K29" s="412">
        <f t="shared" si="7"/>
        <v>0</v>
      </c>
      <c r="L29" s="412">
        <f t="shared" si="7"/>
        <v>0</v>
      </c>
      <c r="M29" s="412">
        <f t="shared" si="6"/>
        <v>0</v>
      </c>
    </row>
    <row r="30" spans="1:13" s="388" customFormat="1" ht="24">
      <c r="A30" s="438" t="s">
        <v>165</v>
      </c>
      <c r="B30" s="412">
        <v>0</v>
      </c>
      <c r="C30" s="412">
        <v>681</v>
      </c>
      <c r="D30" s="412">
        <f t="shared" si="3"/>
        <v>681</v>
      </c>
      <c r="E30" s="412">
        <v>0</v>
      </c>
      <c r="F30" s="412">
        <v>0</v>
      </c>
      <c r="G30" s="412">
        <f t="shared" si="4"/>
        <v>0</v>
      </c>
      <c r="H30" s="412">
        <v>0</v>
      </c>
      <c r="I30" s="412">
        <v>0</v>
      </c>
      <c r="J30" s="412">
        <f t="shared" si="5"/>
        <v>0</v>
      </c>
      <c r="K30" s="412">
        <v>166</v>
      </c>
      <c r="L30" s="412">
        <v>0</v>
      </c>
      <c r="M30" s="412">
        <f t="shared" si="6"/>
        <v>166</v>
      </c>
    </row>
    <row r="31" spans="1:13" s="388" customFormat="1" ht="24">
      <c r="A31" s="707" t="s">
        <v>166</v>
      </c>
      <c r="B31" s="412">
        <v>900</v>
      </c>
      <c r="C31" s="412">
        <v>-681</v>
      </c>
      <c r="D31" s="412">
        <f t="shared" si="3"/>
        <v>219</v>
      </c>
      <c r="E31" s="412">
        <v>0</v>
      </c>
      <c r="F31" s="412">
        <v>0</v>
      </c>
      <c r="G31" s="412">
        <f t="shared" si="4"/>
        <v>0</v>
      </c>
      <c r="H31" s="412">
        <v>0</v>
      </c>
      <c r="I31" s="412">
        <v>0</v>
      </c>
      <c r="J31" s="412">
        <f t="shared" si="5"/>
        <v>0</v>
      </c>
      <c r="K31" s="412">
        <f>+I31+J31</f>
        <v>0</v>
      </c>
      <c r="L31" s="412">
        <f>+J31+K31</f>
        <v>0</v>
      </c>
      <c r="M31" s="412">
        <f t="shared" si="6"/>
        <v>0</v>
      </c>
    </row>
    <row r="32" spans="1:13" s="388" customFormat="1" ht="12.75">
      <c r="A32" s="629" t="s">
        <v>167</v>
      </c>
      <c r="B32" s="412"/>
      <c r="C32" s="412"/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>
        <v>0</v>
      </c>
      <c r="I32" s="412">
        <v>0</v>
      </c>
      <c r="J32" s="412">
        <f t="shared" si="5"/>
        <v>0</v>
      </c>
      <c r="K32" s="412">
        <f>+I32+J32</f>
        <v>0</v>
      </c>
      <c r="L32" s="412">
        <f>+J32+K32</f>
        <v>0</v>
      </c>
      <c r="M32" s="412">
        <f t="shared" si="6"/>
        <v>0</v>
      </c>
    </row>
    <row r="33" spans="1:13" s="388" customFormat="1" ht="12.75">
      <c r="A33" s="629" t="s">
        <v>168</v>
      </c>
      <c r="B33" s="412">
        <v>11280</v>
      </c>
      <c r="C33" s="412">
        <v>0</v>
      </c>
      <c r="D33" s="412">
        <f t="shared" si="3"/>
        <v>11280</v>
      </c>
      <c r="E33" s="412">
        <v>3302</v>
      </c>
      <c r="F33" s="412">
        <v>0</v>
      </c>
      <c r="G33" s="412">
        <f t="shared" si="4"/>
        <v>3302</v>
      </c>
      <c r="H33" s="412">
        <v>11803</v>
      </c>
      <c r="I33" s="412">
        <v>0</v>
      </c>
      <c r="J33" s="412">
        <f t="shared" si="5"/>
        <v>11803</v>
      </c>
      <c r="K33" s="412">
        <v>5812</v>
      </c>
      <c r="L33" s="412">
        <v>0</v>
      </c>
      <c r="M33" s="412">
        <f t="shared" si="6"/>
        <v>5812</v>
      </c>
    </row>
    <row r="34" spans="1:13" s="388" customFormat="1" ht="12.75">
      <c r="A34" s="629" t="s">
        <v>169</v>
      </c>
      <c r="B34" s="412">
        <f aca="true" t="shared" si="8" ref="B34:M34">+B23-B25-B26-B27-B28-B30-B31-B32-B33-B29</f>
        <v>156130</v>
      </c>
      <c r="C34" s="412">
        <f t="shared" si="8"/>
        <v>-2600</v>
      </c>
      <c r="D34" s="412">
        <f t="shared" si="8"/>
        <v>153530</v>
      </c>
      <c r="E34" s="412">
        <f t="shared" si="8"/>
        <v>41054</v>
      </c>
      <c r="F34" s="412">
        <f t="shared" si="8"/>
        <v>510</v>
      </c>
      <c r="G34" s="412">
        <f t="shared" si="8"/>
        <v>41564</v>
      </c>
      <c r="H34" s="412">
        <f t="shared" si="8"/>
        <v>166178</v>
      </c>
      <c r="I34" s="412">
        <f t="shared" si="8"/>
        <v>100</v>
      </c>
      <c r="J34" s="412">
        <f t="shared" si="8"/>
        <v>166278</v>
      </c>
      <c r="K34" s="412">
        <f t="shared" si="8"/>
        <v>124280</v>
      </c>
      <c r="L34" s="412">
        <f t="shared" si="8"/>
        <v>-4038</v>
      </c>
      <c r="M34" s="412">
        <f t="shared" si="8"/>
        <v>120242</v>
      </c>
    </row>
    <row r="35" spans="1:13" s="388" customFormat="1" ht="12.75">
      <c r="A35" s="904" t="s">
        <v>211</v>
      </c>
      <c r="B35" s="412">
        <v>0</v>
      </c>
      <c r="C35" s="412">
        <v>433</v>
      </c>
      <c r="D35" s="412">
        <f>+B35+C35</f>
        <v>433</v>
      </c>
      <c r="E35" s="412">
        <v>0</v>
      </c>
      <c r="F35" s="412">
        <v>0</v>
      </c>
      <c r="G35" s="412">
        <f>+E35+F35</f>
        <v>0</v>
      </c>
      <c r="H35" s="412">
        <v>53651</v>
      </c>
      <c r="I35" s="412">
        <f>51954-H35+I36</f>
        <v>-1276</v>
      </c>
      <c r="J35" s="412">
        <f>+H35+I35</f>
        <v>52375</v>
      </c>
      <c r="K35" s="412">
        <v>0</v>
      </c>
      <c r="L35" s="412">
        <f>171+L36</f>
        <v>663</v>
      </c>
      <c r="M35" s="412">
        <f>+K35+L35</f>
        <v>663</v>
      </c>
    </row>
    <row r="36" spans="1:13" ht="22.5">
      <c r="A36" s="905" t="s">
        <v>686</v>
      </c>
      <c r="B36" s="66">
        <v>38760</v>
      </c>
      <c r="C36" s="66">
        <f>39193-B36</f>
        <v>433</v>
      </c>
      <c r="D36" s="66">
        <f>+B36+C36</f>
        <v>39193</v>
      </c>
      <c r="E36" s="66">
        <v>0</v>
      </c>
      <c r="F36" s="66">
        <v>0</v>
      </c>
      <c r="G36" s="66">
        <f>+E36+F36</f>
        <v>0</v>
      </c>
      <c r="H36" s="66">
        <v>0</v>
      </c>
      <c r="I36" s="66">
        <v>421</v>
      </c>
      <c r="J36" s="66">
        <f>+H36+I36</f>
        <v>421</v>
      </c>
      <c r="K36" s="66">
        <v>2040</v>
      </c>
      <c r="L36" s="66">
        <f>2532-K36</f>
        <v>492</v>
      </c>
      <c r="M36" s="66">
        <f>+K36+L36</f>
        <v>2532</v>
      </c>
    </row>
    <row r="37" spans="1:13" s="177" customFormat="1" ht="12.75">
      <c r="A37" s="906" t="s">
        <v>88</v>
      </c>
      <c r="B37" s="67">
        <f>SUM(B25:B34)</f>
        <v>168310</v>
      </c>
      <c r="C37" s="67">
        <f>SUM(C25:C34)</f>
        <v>-2600</v>
      </c>
      <c r="D37" s="67">
        <f>SUM(D25:D34)</f>
        <v>165710</v>
      </c>
      <c r="E37" s="67">
        <f>SUM(E25:E36)</f>
        <v>46128</v>
      </c>
      <c r="F37" s="67">
        <f>SUM(F25:F36)</f>
        <v>510</v>
      </c>
      <c r="G37" s="67">
        <f aca="true" t="shared" si="9" ref="G37:M37">SUM(G25:G34)</f>
        <v>46638</v>
      </c>
      <c r="H37" s="67">
        <f t="shared" si="9"/>
        <v>177981</v>
      </c>
      <c r="I37" s="67">
        <f t="shared" si="9"/>
        <v>100</v>
      </c>
      <c r="J37" s="67">
        <f t="shared" si="9"/>
        <v>178081</v>
      </c>
      <c r="K37" s="67">
        <f t="shared" si="9"/>
        <v>149375</v>
      </c>
      <c r="L37" s="67">
        <f t="shared" si="9"/>
        <v>-4038</v>
      </c>
      <c r="M37" s="67">
        <f t="shared" si="9"/>
        <v>145337</v>
      </c>
    </row>
  </sheetData>
  <mergeCells count="2">
    <mergeCell ref="K7:M7"/>
    <mergeCell ref="E4:G4"/>
  </mergeCells>
  <printOptions horizontalCentered="1"/>
  <pageMargins left="0" right="0" top="0" bottom="0.31496062992125984" header="0" footer="0"/>
  <pageSetup horizontalDpi="300" verticalDpi="300" orientation="landscape" paperSize="9" r:id="rId1"/>
  <headerFooter alignWithMargins="0">
    <oddHeader>&amp;R&amp;"Times New Roman,Normál"6/a. számú melléklet</oddHeader>
    <oddFooter>&amp;L&amp;"Times New Roman,Normál"&amp;8&amp;F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28.8515625" style="26" customWidth="1"/>
    <col min="2" max="2" width="10.00390625" style="26" customWidth="1"/>
    <col min="3" max="3" width="7.8515625" style="26" customWidth="1"/>
    <col min="4" max="4" width="9.421875" style="26" bestFit="1" customWidth="1"/>
    <col min="5" max="5" width="10.28125" style="26" customWidth="1"/>
    <col min="6" max="6" width="7.28125" style="26" customWidth="1"/>
    <col min="7" max="7" width="9.421875" style="26" bestFit="1" customWidth="1"/>
    <col min="8" max="8" width="10.140625" style="26" customWidth="1"/>
    <col min="9" max="9" width="7.8515625" style="26" customWidth="1"/>
    <col min="10" max="10" width="9.421875" style="26" bestFit="1" customWidth="1"/>
    <col min="11" max="11" width="9.7109375" style="26" customWidth="1"/>
    <col min="12" max="12" width="8.0039062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5</v>
      </c>
      <c r="C4" s="168"/>
      <c r="D4" s="119"/>
      <c r="E4" s="894">
        <v>6</v>
      </c>
      <c r="F4" s="168"/>
      <c r="G4" s="119"/>
      <c r="H4" s="894">
        <v>7</v>
      </c>
      <c r="I4" s="168"/>
      <c r="J4" s="119"/>
      <c r="K4" s="894">
        <v>8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687</v>
      </c>
      <c r="C6" s="168"/>
      <c r="D6" s="119"/>
      <c r="E6" s="894" t="s">
        <v>688</v>
      </c>
      <c r="F6" s="168"/>
      <c r="G6" s="119"/>
      <c r="H6" s="894" t="s">
        <v>689</v>
      </c>
      <c r="I6" s="168"/>
      <c r="J6" s="119"/>
      <c r="K6" s="894" t="s">
        <v>690</v>
      </c>
      <c r="L6" s="168"/>
      <c r="M6" s="119"/>
    </row>
    <row r="7" spans="1:13" ht="12.75">
      <c r="A7" s="892" t="s">
        <v>145</v>
      </c>
      <c r="B7" s="168">
        <v>923215</v>
      </c>
      <c r="C7" s="168"/>
      <c r="D7" s="119"/>
      <c r="E7" s="894">
        <v>751779</v>
      </c>
      <c r="F7" s="168"/>
      <c r="G7" s="119"/>
      <c r="H7" s="894">
        <v>801115</v>
      </c>
      <c r="I7" s="168"/>
      <c r="J7" s="119"/>
      <c r="K7" s="894">
        <v>801115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7</v>
      </c>
      <c r="C11" s="901"/>
      <c r="D11" s="901">
        <f>+B11+C11</f>
        <v>7</v>
      </c>
      <c r="E11" s="901">
        <v>5</v>
      </c>
      <c r="F11" s="901"/>
      <c r="G11" s="901">
        <f>+E11+F11</f>
        <v>5</v>
      </c>
      <c r="H11" s="901">
        <v>35.5</v>
      </c>
      <c r="I11" s="901"/>
      <c r="J11" s="901">
        <f>+H11+I11</f>
        <v>35.5</v>
      </c>
      <c r="K11" s="901">
        <v>19.5</v>
      </c>
      <c r="L11" s="901"/>
      <c r="M11" s="901">
        <f>+K11+L11</f>
        <v>19.5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15251-120</f>
        <v>15131</v>
      </c>
      <c r="C13" s="412">
        <v>-100</v>
      </c>
      <c r="D13" s="412">
        <f>+B13+C13</f>
        <v>15031</v>
      </c>
      <c r="E13" s="412">
        <f>9356+757</f>
        <v>10113</v>
      </c>
      <c r="F13" s="412">
        <v>0</v>
      </c>
      <c r="G13" s="412">
        <f>+E13+F13</f>
        <v>10113</v>
      </c>
      <c r="H13" s="412">
        <f>76337+3209</f>
        <v>79546</v>
      </c>
      <c r="I13" s="412">
        <v>0</v>
      </c>
      <c r="J13" s="412">
        <f>+H13+I13</f>
        <v>79546</v>
      </c>
      <c r="K13" s="412">
        <f>42229+2568</f>
        <v>44797</v>
      </c>
      <c r="L13" s="412">
        <v>0</v>
      </c>
      <c r="M13" s="412">
        <f>+K13+L13</f>
        <v>44797</v>
      </c>
    </row>
    <row r="14" spans="1:13" s="388" customFormat="1" ht="12.75">
      <c r="A14" s="629" t="s">
        <v>519</v>
      </c>
      <c r="B14" s="412">
        <f>4417+378</f>
        <v>4795</v>
      </c>
      <c r="C14" s="412"/>
      <c r="D14" s="412">
        <f>+B14+C14</f>
        <v>4795</v>
      </c>
      <c r="E14" s="412">
        <f>2944+234</f>
        <v>3178</v>
      </c>
      <c r="F14" s="412">
        <v>0</v>
      </c>
      <c r="G14" s="412">
        <f>+E14+F14</f>
        <v>3178</v>
      </c>
      <c r="H14" s="412">
        <f>24693+955</f>
        <v>25648</v>
      </c>
      <c r="I14" s="412">
        <v>0</v>
      </c>
      <c r="J14" s="412">
        <f>+H14+I14</f>
        <v>25648</v>
      </c>
      <c r="K14" s="412">
        <f>13710+747</f>
        <v>14457</v>
      </c>
      <c r="L14" s="412">
        <v>0</v>
      </c>
      <c r="M14" s="412">
        <f>+K14+L14</f>
        <v>14457</v>
      </c>
    </row>
    <row r="15" spans="1:13" s="388" customFormat="1" ht="12.75">
      <c r="A15" s="629" t="s">
        <v>520</v>
      </c>
      <c r="B15" s="412">
        <f>19214-878</f>
        <v>18336</v>
      </c>
      <c r="C15" s="412">
        <v>-2034</v>
      </c>
      <c r="D15" s="412">
        <f>+B15+C15</f>
        <v>16302</v>
      </c>
      <c r="E15" s="412">
        <f>3785+33</f>
        <v>3818</v>
      </c>
      <c r="F15" s="412">
        <v>0</v>
      </c>
      <c r="G15" s="412">
        <f>+E15+F15</f>
        <v>3818</v>
      </c>
      <c r="H15" s="412">
        <f>26437+1455</f>
        <v>27892</v>
      </c>
      <c r="I15" s="412">
        <v>105</v>
      </c>
      <c r="J15" s="412">
        <f>+H15+I15</f>
        <v>27997</v>
      </c>
      <c r="K15" s="412">
        <f>14492+705</f>
        <v>15197</v>
      </c>
      <c r="L15" s="412">
        <v>154</v>
      </c>
      <c r="M15" s="412">
        <f>+K15+L15</f>
        <v>15351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f>+F16+G16</f>
        <v>0</v>
      </c>
      <c r="I16" s="412">
        <f>+G16+H16</f>
        <v>0</v>
      </c>
      <c r="J16" s="412">
        <f>+H16+I16</f>
        <v>0</v>
      </c>
      <c r="K16" s="412">
        <f>+I16+J16</f>
        <v>0</v>
      </c>
      <c r="L16" s="412">
        <f>+J16+K16</f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f>+C17+D17</f>
        <v>0</v>
      </c>
      <c r="F17" s="412">
        <f>+D17+E17</f>
        <v>0</v>
      </c>
      <c r="G17" s="412">
        <f>+E17+F17</f>
        <v>0</v>
      </c>
      <c r="H17" s="412">
        <f>+F17+G17</f>
        <v>0</v>
      </c>
      <c r="I17" s="412">
        <f>+G17+H17</f>
        <v>0</v>
      </c>
      <c r="J17" s="412">
        <f>+H17+I17</f>
        <v>0</v>
      </c>
      <c r="K17" s="412">
        <f>+I17+J17</f>
        <v>0</v>
      </c>
      <c r="L17" s="412">
        <f>+J17+K17</f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38262</v>
      </c>
      <c r="C18" s="399">
        <f t="shared" si="0"/>
        <v>-2134</v>
      </c>
      <c r="D18" s="399">
        <f t="shared" si="0"/>
        <v>36128</v>
      </c>
      <c r="E18" s="399">
        <f t="shared" si="0"/>
        <v>17109</v>
      </c>
      <c r="F18" s="399">
        <f t="shared" si="0"/>
        <v>0</v>
      </c>
      <c r="G18" s="399">
        <f t="shared" si="0"/>
        <v>17109</v>
      </c>
      <c r="H18" s="399">
        <f t="shared" si="0"/>
        <v>133086</v>
      </c>
      <c r="I18" s="399">
        <f t="shared" si="0"/>
        <v>105</v>
      </c>
      <c r="J18" s="399">
        <f t="shared" si="0"/>
        <v>133191</v>
      </c>
      <c r="K18" s="399">
        <f t="shared" si="0"/>
        <v>74451</v>
      </c>
      <c r="L18" s="399">
        <f t="shared" si="0"/>
        <v>154</v>
      </c>
      <c r="M18" s="399">
        <f t="shared" si="0"/>
        <v>74605</v>
      </c>
    </row>
    <row r="19" spans="1:13" s="388" customFormat="1" ht="12.75">
      <c r="A19" s="629" t="s">
        <v>171</v>
      </c>
      <c r="B19" s="412">
        <v>0</v>
      </c>
      <c r="C19" s="412">
        <v>27600</v>
      </c>
      <c r="D19" s="412">
        <f>+B19+C19</f>
        <v>27600</v>
      </c>
      <c r="E19" s="412">
        <v>0</v>
      </c>
      <c r="F19" s="412">
        <v>0</v>
      </c>
      <c r="G19" s="412">
        <f>+E19+F19</f>
        <v>0</v>
      </c>
      <c r="H19" s="412">
        <v>0</v>
      </c>
      <c r="I19" s="412">
        <v>0</v>
      </c>
      <c r="J19" s="412">
        <f>+H19+I19</f>
        <v>0</v>
      </c>
      <c r="K19" s="412">
        <v>0</v>
      </c>
      <c r="L19" s="412">
        <v>0</v>
      </c>
      <c r="M19" s="412">
        <f>+K19+L19</f>
        <v>0</v>
      </c>
    </row>
    <row r="20" spans="1:13" s="388" customFormat="1" ht="12.75">
      <c r="A20" s="629" t="s">
        <v>172</v>
      </c>
      <c r="B20" s="412">
        <v>0</v>
      </c>
      <c r="C20" s="412">
        <v>43</v>
      </c>
      <c r="D20" s="412">
        <f>+B20+C20</f>
        <v>43</v>
      </c>
      <c r="E20" s="412">
        <v>3</v>
      </c>
      <c r="F20" s="412">
        <v>0</v>
      </c>
      <c r="G20" s="412">
        <f>+E20+F20</f>
        <v>3</v>
      </c>
      <c r="H20" s="412">
        <v>6</v>
      </c>
      <c r="I20" s="412">
        <v>0</v>
      </c>
      <c r="J20" s="412">
        <f>+H20+I20</f>
        <v>6</v>
      </c>
      <c r="K20" s="412">
        <v>6</v>
      </c>
      <c r="L20" s="412">
        <v>13</v>
      </c>
      <c r="M20" s="412">
        <f>+K20+L20</f>
        <v>19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f>+C21+D21</f>
        <v>0</v>
      </c>
      <c r="F21" s="412">
        <f>+D21+E21</f>
        <v>0</v>
      </c>
      <c r="G21" s="412">
        <f>+E21+F21</f>
        <v>0</v>
      </c>
      <c r="H21" s="412">
        <f>+F21+G21</f>
        <v>0</v>
      </c>
      <c r="I21" s="412">
        <f>+G21+H21</f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0</v>
      </c>
      <c r="C22" s="399">
        <f t="shared" si="1"/>
        <v>27643</v>
      </c>
      <c r="D22" s="399">
        <f t="shared" si="1"/>
        <v>27643</v>
      </c>
      <c r="E22" s="399">
        <f t="shared" si="1"/>
        <v>3</v>
      </c>
      <c r="F22" s="399">
        <f t="shared" si="1"/>
        <v>0</v>
      </c>
      <c r="G22" s="399">
        <f t="shared" si="1"/>
        <v>3</v>
      </c>
      <c r="H22" s="399">
        <f t="shared" si="1"/>
        <v>6</v>
      </c>
      <c r="I22" s="399">
        <f t="shared" si="1"/>
        <v>0</v>
      </c>
      <c r="J22" s="399">
        <f t="shared" si="1"/>
        <v>6</v>
      </c>
      <c r="K22" s="399">
        <f t="shared" si="1"/>
        <v>6</v>
      </c>
      <c r="L22" s="399">
        <f t="shared" si="1"/>
        <v>13</v>
      </c>
      <c r="M22" s="399">
        <f t="shared" si="1"/>
        <v>19</v>
      </c>
    </row>
    <row r="23" spans="1:13" s="902" customFormat="1" ht="12.75">
      <c r="A23" s="903" t="s">
        <v>86</v>
      </c>
      <c r="B23" s="399">
        <f aca="true" t="shared" si="2" ref="B23:M23">SUM(B18+B22)</f>
        <v>38262</v>
      </c>
      <c r="C23" s="399">
        <f t="shared" si="2"/>
        <v>25509</v>
      </c>
      <c r="D23" s="399">
        <f t="shared" si="2"/>
        <v>63771</v>
      </c>
      <c r="E23" s="399">
        <f t="shared" si="2"/>
        <v>17112</v>
      </c>
      <c r="F23" s="399">
        <f t="shared" si="2"/>
        <v>0</v>
      </c>
      <c r="G23" s="399">
        <f t="shared" si="2"/>
        <v>17112</v>
      </c>
      <c r="H23" s="399">
        <f t="shared" si="2"/>
        <v>133092</v>
      </c>
      <c r="I23" s="399">
        <f t="shared" si="2"/>
        <v>105</v>
      </c>
      <c r="J23" s="399">
        <f t="shared" si="2"/>
        <v>133197</v>
      </c>
      <c r="K23" s="399">
        <f t="shared" si="2"/>
        <v>74457</v>
      </c>
      <c r="L23" s="399">
        <f t="shared" si="2"/>
        <v>167</v>
      </c>
      <c r="M23" s="399">
        <f t="shared" si="2"/>
        <v>74624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22.5">
      <c r="A25" s="907" t="s">
        <v>491</v>
      </c>
      <c r="B25" s="412">
        <v>0</v>
      </c>
      <c r="C25" s="412">
        <v>0</v>
      </c>
      <c r="D25" s="412">
        <f aca="true" t="shared" si="3" ref="D25:G32">+B25+C25</f>
        <v>0</v>
      </c>
      <c r="E25" s="412">
        <f t="shared" si="3"/>
        <v>0</v>
      </c>
      <c r="F25" s="412">
        <f t="shared" si="3"/>
        <v>0</v>
      </c>
      <c r="G25" s="412">
        <f t="shared" si="3"/>
        <v>0</v>
      </c>
      <c r="H25" s="412">
        <v>0</v>
      </c>
      <c r="I25" s="412">
        <v>0</v>
      </c>
      <c r="J25" s="412">
        <f>+H25+I25</f>
        <v>0</v>
      </c>
      <c r="K25" s="412">
        <f>+I25+J25</f>
        <v>0</v>
      </c>
      <c r="L25" s="412">
        <f>+J25+K25</f>
        <v>0</v>
      </c>
      <c r="M25" s="412">
        <f>+K25+L25</f>
        <v>0</v>
      </c>
    </row>
    <row r="26" spans="1:13" s="388" customFormat="1" ht="22.5">
      <c r="A26" s="907" t="s">
        <v>492</v>
      </c>
      <c r="B26" s="412">
        <v>0</v>
      </c>
      <c r="C26" s="412">
        <v>0</v>
      </c>
      <c r="D26" s="412">
        <f t="shared" si="3"/>
        <v>0</v>
      </c>
      <c r="E26" s="412">
        <f t="shared" si="3"/>
        <v>0</v>
      </c>
      <c r="F26" s="412">
        <f t="shared" si="3"/>
        <v>0</v>
      </c>
      <c r="G26" s="412">
        <f t="shared" si="3"/>
        <v>0</v>
      </c>
      <c r="H26" s="412">
        <v>6637</v>
      </c>
      <c r="I26" s="412">
        <v>0</v>
      </c>
      <c r="J26" s="412">
        <f aca="true" t="shared" si="4" ref="J26:J33">+H26+I26</f>
        <v>6637</v>
      </c>
      <c r="K26" s="412">
        <v>3779</v>
      </c>
      <c r="L26" s="412">
        <v>0</v>
      </c>
      <c r="M26" s="412">
        <f aca="true" t="shared" si="5" ref="M26:M33">+K26+L26</f>
        <v>3779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f t="shared" si="3"/>
        <v>0</v>
      </c>
      <c r="F27" s="412">
        <f t="shared" si="3"/>
        <v>0</v>
      </c>
      <c r="G27" s="412">
        <f t="shared" si="3"/>
        <v>0</v>
      </c>
      <c r="H27" s="412">
        <v>0</v>
      </c>
      <c r="I27" s="412">
        <v>0</v>
      </c>
      <c r="J27" s="412">
        <f t="shared" si="4"/>
        <v>0</v>
      </c>
      <c r="K27" s="412">
        <f>+I27+J27</f>
        <v>0</v>
      </c>
      <c r="L27" s="412">
        <f>+J27+K27</f>
        <v>0</v>
      </c>
      <c r="M27" s="412">
        <f t="shared" si="5"/>
        <v>0</v>
      </c>
    </row>
    <row r="28" spans="1:13" s="388" customFormat="1" ht="12.75">
      <c r="A28" s="629" t="s">
        <v>164</v>
      </c>
      <c r="B28" s="412">
        <v>0</v>
      </c>
      <c r="C28" s="412">
        <v>0</v>
      </c>
      <c r="D28" s="412">
        <f t="shared" si="3"/>
        <v>0</v>
      </c>
      <c r="E28" s="412">
        <f t="shared" si="3"/>
        <v>0</v>
      </c>
      <c r="F28" s="412">
        <f t="shared" si="3"/>
        <v>0</v>
      </c>
      <c r="G28" s="412">
        <f t="shared" si="3"/>
        <v>0</v>
      </c>
      <c r="H28" s="412">
        <v>973</v>
      </c>
      <c r="I28" s="412">
        <v>0</v>
      </c>
      <c r="J28" s="412">
        <f t="shared" si="4"/>
        <v>973</v>
      </c>
      <c r="K28" s="412">
        <v>567</v>
      </c>
      <c r="L28" s="412">
        <v>0</v>
      </c>
      <c r="M28" s="412">
        <f t="shared" si="5"/>
        <v>567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f t="shared" si="3"/>
        <v>0</v>
      </c>
      <c r="F29" s="412">
        <f t="shared" si="3"/>
        <v>0</v>
      </c>
      <c r="G29" s="412">
        <f t="shared" si="3"/>
        <v>0</v>
      </c>
      <c r="H29" s="412">
        <v>0</v>
      </c>
      <c r="I29" s="412">
        <v>0</v>
      </c>
      <c r="J29" s="412">
        <f t="shared" si="4"/>
        <v>0</v>
      </c>
      <c r="K29" s="412">
        <v>0</v>
      </c>
      <c r="L29" s="412">
        <v>0</v>
      </c>
      <c r="M29" s="412">
        <f t="shared" si="5"/>
        <v>0</v>
      </c>
    </row>
    <row r="30" spans="1:13" s="388" customFormat="1" ht="22.5">
      <c r="A30" s="907" t="s">
        <v>165</v>
      </c>
      <c r="B30" s="412">
        <v>0</v>
      </c>
      <c r="C30" s="412">
        <v>0</v>
      </c>
      <c r="D30" s="412">
        <f t="shared" si="3"/>
        <v>0</v>
      </c>
      <c r="E30" s="412">
        <f t="shared" si="3"/>
        <v>0</v>
      </c>
      <c r="F30" s="412">
        <f t="shared" si="3"/>
        <v>0</v>
      </c>
      <c r="G30" s="412">
        <f t="shared" si="3"/>
        <v>0</v>
      </c>
      <c r="H30" s="412">
        <v>290</v>
      </c>
      <c r="I30" s="412">
        <v>0</v>
      </c>
      <c r="J30" s="412">
        <f t="shared" si="4"/>
        <v>290</v>
      </c>
      <c r="K30" s="412">
        <v>50</v>
      </c>
      <c r="L30" s="412">
        <v>0</v>
      </c>
      <c r="M30" s="412">
        <f t="shared" si="5"/>
        <v>50</v>
      </c>
    </row>
    <row r="31" spans="1:13" s="388" customFormat="1" ht="22.5">
      <c r="A31" s="908" t="s">
        <v>166</v>
      </c>
      <c r="B31" s="412">
        <v>0</v>
      </c>
      <c r="C31" s="412">
        <v>0</v>
      </c>
      <c r="D31" s="412">
        <f t="shared" si="3"/>
        <v>0</v>
      </c>
      <c r="E31" s="412">
        <f t="shared" si="3"/>
        <v>0</v>
      </c>
      <c r="F31" s="412">
        <f t="shared" si="3"/>
        <v>0</v>
      </c>
      <c r="G31" s="412">
        <f t="shared" si="3"/>
        <v>0</v>
      </c>
      <c r="H31" s="412">
        <f>+F31+G31</f>
        <v>0</v>
      </c>
      <c r="I31" s="412">
        <f>+G31+H31</f>
        <v>0</v>
      </c>
      <c r="J31" s="412">
        <f t="shared" si="4"/>
        <v>0</v>
      </c>
      <c r="K31" s="412">
        <f>+I31+J31</f>
        <v>0</v>
      </c>
      <c r="L31" s="412">
        <f>+J31+K31</f>
        <v>0</v>
      </c>
      <c r="M31" s="412">
        <f t="shared" si="5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f t="shared" si="3"/>
        <v>0</v>
      </c>
      <c r="F32" s="412">
        <f t="shared" si="3"/>
        <v>0</v>
      </c>
      <c r="G32" s="412">
        <f t="shared" si="3"/>
        <v>0</v>
      </c>
      <c r="H32" s="412">
        <f>+F32+G32</f>
        <v>0</v>
      </c>
      <c r="I32" s="412">
        <f>+G32+H32</f>
        <v>0</v>
      </c>
      <c r="J32" s="412">
        <f t="shared" si="4"/>
        <v>0</v>
      </c>
      <c r="K32" s="412">
        <f>+I32+J32</f>
        <v>0</v>
      </c>
      <c r="L32" s="412">
        <f>+J32+K32</f>
        <v>0</v>
      </c>
      <c r="M32" s="412">
        <f t="shared" si="5"/>
        <v>0</v>
      </c>
    </row>
    <row r="33" spans="1:13" s="388" customFormat="1" ht="12.75">
      <c r="A33" s="629" t="s">
        <v>168</v>
      </c>
      <c r="B33" s="412">
        <v>1939</v>
      </c>
      <c r="C33" s="412">
        <v>0</v>
      </c>
      <c r="D33" s="412">
        <f>+B33+C33</f>
        <v>1939</v>
      </c>
      <c r="E33" s="412">
        <v>868</v>
      </c>
      <c r="F33" s="412">
        <v>0</v>
      </c>
      <c r="G33" s="412">
        <f>+E33+F33</f>
        <v>868</v>
      </c>
      <c r="H33" s="412">
        <v>3190</v>
      </c>
      <c r="I33" s="412">
        <v>0</v>
      </c>
      <c r="J33" s="412">
        <f t="shared" si="4"/>
        <v>3190</v>
      </c>
      <c r="K33" s="412">
        <v>2691</v>
      </c>
      <c r="L33" s="412"/>
      <c r="M33" s="412">
        <f t="shared" si="5"/>
        <v>2691</v>
      </c>
    </row>
    <row r="34" spans="1:13" s="388" customFormat="1" ht="12.75">
      <c r="A34" s="629" t="s">
        <v>169</v>
      </c>
      <c r="B34" s="412">
        <f aca="true" t="shared" si="6" ref="B34:M34">+B23-B25-B26-B27-B28-B30-B31-B32-B33-B29</f>
        <v>36323</v>
      </c>
      <c r="C34" s="412">
        <f t="shared" si="6"/>
        <v>25509</v>
      </c>
      <c r="D34" s="412">
        <f t="shared" si="6"/>
        <v>61832</v>
      </c>
      <c r="E34" s="412">
        <f t="shared" si="6"/>
        <v>16244</v>
      </c>
      <c r="F34" s="412">
        <f t="shared" si="6"/>
        <v>0</v>
      </c>
      <c r="G34" s="412">
        <f t="shared" si="6"/>
        <v>16244</v>
      </c>
      <c r="H34" s="412">
        <f t="shared" si="6"/>
        <v>122002</v>
      </c>
      <c r="I34" s="412">
        <f t="shared" si="6"/>
        <v>105</v>
      </c>
      <c r="J34" s="412">
        <f t="shared" si="6"/>
        <v>122107</v>
      </c>
      <c r="K34" s="412">
        <f t="shared" si="6"/>
        <v>67370</v>
      </c>
      <c r="L34" s="412">
        <f t="shared" si="6"/>
        <v>167</v>
      </c>
      <c r="M34" s="412">
        <f t="shared" si="6"/>
        <v>67537</v>
      </c>
    </row>
    <row r="35" spans="1:13" ht="12.75">
      <c r="A35" s="909" t="s">
        <v>211</v>
      </c>
      <c r="B35" s="66">
        <v>17577</v>
      </c>
      <c r="C35" s="66">
        <v>0</v>
      </c>
      <c r="D35" s="66">
        <f>+B35+C35</f>
        <v>17577</v>
      </c>
      <c r="E35" s="66">
        <v>0</v>
      </c>
      <c r="F35" s="66">
        <v>0</v>
      </c>
      <c r="G35" s="66">
        <f>+E35+F35</f>
        <v>0</v>
      </c>
      <c r="H35" s="66">
        <v>43115</v>
      </c>
      <c r="I35" s="66">
        <f>43143-H35+I36</f>
        <v>239</v>
      </c>
      <c r="J35" s="66">
        <f>+H35+I35</f>
        <v>43354</v>
      </c>
      <c r="K35" s="66">
        <v>26991</v>
      </c>
      <c r="L35" s="66">
        <f>27080-K35+L36</f>
        <v>206</v>
      </c>
      <c r="M35" s="66">
        <f>+K35+L35</f>
        <v>27197</v>
      </c>
    </row>
    <row r="36" spans="1:13" ht="10.5" customHeight="1">
      <c r="A36" s="905" t="s">
        <v>686</v>
      </c>
      <c r="B36" s="66"/>
      <c r="C36" s="66"/>
      <c r="D36" s="66">
        <v>0</v>
      </c>
      <c r="E36" s="66">
        <v>0</v>
      </c>
      <c r="F36" s="66">
        <v>0</v>
      </c>
      <c r="G36" s="66">
        <f>+E36+F36</f>
        <v>0</v>
      </c>
      <c r="H36" s="66">
        <v>0</v>
      </c>
      <c r="I36" s="66">
        <v>211</v>
      </c>
      <c r="J36" s="66">
        <f>+H36+I36</f>
        <v>211</v>
      </c>
      <c r="K36" s="66">
        <v>0</v>
      </c>
      <c r="L36" s="66">
        <v>117</v>
      </c>
      <c r="M36" s="66">
        <f>+K36+L36</f>
        <v>117</v>
      </c>
    </row>
    <row r="37" spans="1:13" s="177" customFormat="1" ht="12.75">
      <c r="A37" s="906" t="s">
        <v>88</v>
      </c>
      <c r="B37" s="67">
        <f>SUM(B25:B34)</f>
        <v>38262</v>
      </c>
      <c r="C37" s="67">
        <f>SUM(C25:C35)</f>
        <v>25509</v>
      </c>
      <c r="D37" s="67">
        <f aca="true" t="shared" si="7" ref="D37:M37">SUM(D25:D34)</f>
        <v>63771</v>
      </c>
      <c r="E37" s="67">
        <f t="shared" si="7"/>
        <v>17112</v>
      </c>
      <c r="F37" s="67">
        <f t="shared" si="7"/>
        <v>0</v>
      </c>
      <c r="G37" s="67">
        <f t="shared" si="7"/>
        <v>17112</v>
      </c>
      <c r="H37" s="67">
        <f t="shared" si="7"/>
        <v>133092</v>
      </c>
      <c r="I37" s="67">
        <f t="shared" si="7"/>
        <v>105</v>
      </c>
      <c r="J37" s="67">
        <f t="shared" si="7"/>
        <v>133197</v>
      </c>
      <c r="K37" s="67">
        <f t="shared" si="7"/>
        <v>74457</v>
      </c>
      <c r="L37" s="67">
        <f t="shared" si="7"/>
        <v>167</v>
      </c>
      <c r="M37" s="67">
        <f t="shared" si="7"/>
        <v>74624</v>
      </c>
    </row>
  </sheetData>
  <printOptions horizontalCentered="1"/>
  <pageMargins left="0" right="0" top="0.11811023622047245" bottom="0.11811023622047245" header="0" footer="0"/>
  <pageSetup horizontalDpi="300" verticalDpi="300" orientation="landscape" paperSize="9" r:id="rId1"/>
  <headerFooter alignWithMargins="0">
    <oddHeader>&amp;C&amp;"Times New Roman,Normál"2&amp;R&amp;"Times New Roman,Normál"6/a. számú melléklet</oddHeader>
    <oddFooter>&amp;L&amp;"Times New Roman,Normál"&amp;8&amp;F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B9" sqref="B9:M9"/>
    </sheetView>
  </sheetViews>
  <sheetFormatPr defaultColWidth="9.140625" defaultRowHeight="12.75"/>
  <cols>
    <col min="1" max="1" width="35.28125" style="26" customWidth="1"/>
    <col min="2" max="2" width="9.8515625" style="26" customWidth="1"/>
    <col min="3" max="3" width="7.421875" style="26" customWidth="1"/>
    <col min="4" max="4" width="9.421875" style="26" bestFit="1" customWidth="1"/>
    <col min="5" max="5" width="9.8515625" style="26" customWidth="1"/>
    <col min="6" max="6" width="7.7109375" style="26" customWidth="1"/>
    <col min="7" max="7" width="9.421875" style="26" bestFit="1" customWidth="1"/>
    <col min="8" max="8" width="10.28125" style="26" customWidth="1"/>
    <col min="9" max="9" width="7.7109375" style="26" customWidth="1"/>
    <col min="10" max="10" width="9.421875" style="26" bestFit="1" customWidth="1"/>
    <col min="11" max="11" width="10.00390625" style="26" customWidth="1"/>
    <col min="12" max="12" width="7.5742187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9</v>
      </c>
      <c r="C4" s="168"/>
      <c r="D4" s="119"/>
      <c r="E4" s="894">
        <v>10</v>
      </c>
      <c r="F4" s="168"/>
      <c r="G4" s="119"/>
      <c r="H4" s="894">
        <v>11</v>
      </c>
      <c r="I4" s="168"/>
      <c r="J4" s="119"/>
      <c r="K4" s="894">
        <v>12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691</v>
      </c>
      <c r="C6" s="168"/>
      <c r="D6" s="119"/>
      <c r="E6" s="894" t="s">
        <v>692</v>
      </c>
      <c r="F6" s="168"/>
      <c r="G6" s="119"/>
      <c r="H6" s="894" t="s">
        <v>693</v>
      </c>
      <c r="I6" s="168"/>
      <c r="J6" s="119"/>
      <c r="K6" s="894" t="s">
        <v>694</v>
      </c>
      <c r="L6" s="168"/>
      <c r="M6" s="119"/>
    </row>
    <row r="7" spans="1:13" ht="12.75">
      <c r="A7" s="892" t="s">
        <v>145</v>
      </c>
      <c r="B7" s="894">
        <v>801115</v>
      </c>
      <c r="C7" s="168"/>
      <c r="D7" s="119"/>
      <c r="E7" s="894">
        <v>801115</v>
      </c>
      <c r="F7" s="168"/>
      <c r="G7" s="119"/>
      <c r="H7" s="894">
        <v>801115</v>
      </c>
      <c r="I7" s="168"/>
      <c r="J7" s="119"/>
      <c r="K7" s="894">
        <v>801115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30</v>
      </c>
      <c r="C11" s="901"/>
      <c r="D11" s="901">
        <f>+B11+C11</f>
        <v>30</v>
      </c>
      <c r="E11" s="901">
        <v>32</v>
      </c>
      <c r="F11" s="901"/>
      <c r="G11" s="901">
        <f>+E11+F11</f>
        <v>32</v>
      </c>
      <c r="H11" s="901">
        <v>23</v>
      </c>
      <c r="I11" s="901"/>
      <c r="J11" s="901">
        <f>+H11+I11</f>
        <v>23</v>
      </c>
      <c r="K11" s="901">
        <v>24</v>
      </c>
      <c r="L11" s="901"/>
      <c r="M11" s="901">
        <f>+K11+L11</f>
        <v>24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61651+4580</f>
        <v>66231</v>
      </c>
      <c r="C13" s="412">
        <v>0</v>
      </c>
      <c r="D13" s="412">
        <f>+B13+C13</f>
        <v>66231</v>
      </c>
      <c r="E13" s="412">
        <f>62269+4768</f>
        <v>67037</v>
      </c>
      <c r="F13" s="412">
        <v>0</v>
      </c>
      <c r="G13" s="412">
        <f>+E13+F13</f>
        <v>67037</v>
      </c>
      <c r="H13" s="412">
        <f>45639+2341</f>
        <v>47980</v>
      </c>
      <c r="I13" s="412">
        <v>0</v>
      </c>
      <c r="J13" s="412">
        <f>+H13+I13</f>
        <v>47980</v>
      </c>
      <c r="K13" s="412">
        <f>47979+2776</f>
        <v>50755</v>
      </c>
      <c r="L13" s="412">
        <v>0</v>
      </c>
      <c r="M13" s="412">
        <f>+K13+L13</f>
        <v>50755</v>
      </c>
    </row>
    <row r="14" spans="1:13" s="388" customFormat="1" ht="12.75">
      <c r="A14" s="629" t="s">
        <v>519</v>
      </c>
      <c r="B14" s="412">
        <f>19949+1338</f>
        <v>21287</v>
      </c>
      <c r="C14" s="412">
        <v>0</v>
      </c>
      <c r="D14" s="412">
        <f>+B14+C14</f>
        <v>21287</v>
      </c>
      <c r="E14" s="412">
        <f>20111+1456</f>
        <v>21567</v>
      </c>
      <c r="F14" s="412">
        <v>0</v>
      </c>
      <c r="G14" s="412">
        <f>+E14+F14</f>
        <v>21567</v>
      </c>
      <c r="H14" s="412">
        <f>14847+701</f>
        <v>15548</v>
      </c>
      <c r="I14" s="412">
        <v>0</v>
      </c>
      <c r="J14" s="412">
        <f>+H14+I14</f>
        <v>15548</v>
      </c>
      <c r="K14" s="412">
        <f>15526+807</f>
        <v>16333</v>
      </c>
      <c r="L14" s="412">
        <v>0</v>
      </c>
      <c r="M14" s="412">
        <f>+K14+L14</f>
        <v>16333</v>
      </c>
    </row>
    <row r="15" spans="1:13" s="388" customFormat="1" ht="12.75">
      <c r="A15" s="629" t="s">
        <v>520</v>
      </c>
      <c r="B15" s="412">
        <f>23031+1079</f>
        <v>24110</v>
      </c>
      <c r="C15" s="412">
        <v>12</v>
      </c>
      <c r="D15" s="412">
        <f>+B15+C15</f>
        <v>24122</v>
      </c>
      <c r="E15" s="412">
        <f>23147+779</f>
        <v>23926</v>
      </c>
      <c r="F15" s="412">
        <v>100</v>
      </c>
      <c r="G15" s="412">
        <f>+E15+F15</f>
        <v>24026</v>
      </c>
      <c r="H15" s="412">
        <f>17243+1445</f>
        <v>18688</v>
      </c>
      <c r="I15" s="412">
        <v>84</v>
      </c>
      <c r="J15" s="412">
        <f>+H15+I15</f>
        <v>18772</v>
      </c>
      <c r="K15" s="412">
        <f>18410+579</f>
        <v>18989</v>
      </c>
      <c r="L15" s="412">
        <v>464</v>
      </c>
      <c r="M15" s="412">
        <f>+K15+L15</f>
        <v>19453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f>+I16+J16</f>
        <v>0</v>
      </c>
      <c r="L16" s="412">
        <f>+J16+K16</f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v>0</v>
      </c>
      <c r="F17" s="412"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f>+I17+J17</f>
        <v>0</v>
      </c>
      <c r="L17" s="412">
        <f>+J17+K17</f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111628</v>
      </c>
      <c r="C18" s="399">
        <f t="shared" si="0"/>
        <v>12</v>
      </c>
      <c r="D18" s="399">
        <f t="shared" si="0"/>
        <v>111640</v>
      </c>
      <c r="E18" s="399">
        <f t="shared" si="0"/>
        <v>112530</v>
      </c>
      <c r="F18" s="399">
        <f t="shared" si="0"/>
        <v>100</v>
      </c>
      <c r="G18" s="399">
        <f t="shared" si="0"/>
        <v>112630</v>
      </c>
      <c r="H18" s="399">
        <f t="shared" si="0"/>
        <v>82216</v>
      </c>
      <c r="I18" s="399">
        <f t="shared" si="0"/>
        <v>84</v>
      </c>
      <c r="J18" s="399">
        <f t="shared" si="0"/>
        <v>82300</v>
      </c>
      <c r="K18" s="399">
        <f t="shared" si="0"/>
        <v>86077</v>
      </c>
      <c r="L18" s="399">
        <f t="shared" si="0"/>
        <v>464</v>
      </c>
      <c r="M18" s="399">
        <f t="shared" si="0"/>
        <v>86541</v>
      </c>
    </row>
    <row r="19" spans="1:13" s="388" customFormat="1" ht="12.75">
      <c r="A19" s="629" t="s">
        <v>171</v>
      </c>
      <c r="B19" s="412">
        <v>0</v>
      </c>
      <c r="C19" s="412">
        <v>3700</v>
      </c>
      <c r="D19" s="412">
        <f>+B19+C19</f>
        <v>3700</v>
      </c>
      <c r="E19" s="412">
        <v>11400</v>
      </c>
      <c r="F19" s="412">
        <v>-458</v>
      </c>
      <c r="G19" s="412">
        <f>+E19+F19</f>
        <v>10942</v>
      </c>
      <c r="H19" s="412">
        <v>19200</v>
      </c>
      <c r="I19" s="412">
        <v>-483</v>
      </c>
      <c r="J19" s="412">
        <f>+H19+I19</f>
        <v>18717</v>
      </c>
      <c r="K19" s="412">
        <v>3840</v>
      </c>
      <c r="L19" s="412">
        <v>0</v>
      </c>
      <c r="M19" s="412">
        <f>+K19+L19</f>
        <v>3840</v>
      </c>
    </row>
    <row r="20" spans="1:13" s="388" customFormat="1" ht="12.75">
      <c r="A20" s="629" t="s">
        <v>172</v>
      </c>
      <c r="B20" s="412">
        <v>6</v>
      </c>
      <c r="C20" s="412">
        <v>83</v>
      </c>
      <c r="D20" s="412">
        <f>+B20+C20</f>
        <v>89</v>
      </c>
      <c r="E20" s="412">
        <v>8</v>
      </c>
      <c r="F20" s="412">
        <v>0</v>
      </c>
      <c r="G20" s="412">
        <f>+E20+F20</f>
        <v>8</v>
      </c>
      <c r="H20" s="412">
        <v>6</v>
      </c>
      <c r="I20" s="412">
        <v>0</v>
      </c>
      <c r="J20" s="412">
        <f>+H20+I20</f>
        <v>6</v>
      </c>
      <c r="K20" s="412">
        <v>6</v>
      </c>
      <c r="L20" s="412">
        <v>12</v>
      </c>
      <c r="M20" s="412">
        <f>+K20+L20</f>
        <v>18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f>+F21+G21</f>
        <v>0</v>
      </c>
      <c r="I21" s="412">
        <f>+G21+H21</f>
        <v>0</v>
      </c>
      <c r="J21" s="412">
        <f>+H21+I21</f>
        <v>0</v>
      </c>
      <c r="K21" s="412">
        <f>+I21+J21</f>
        <v>0</v>
      </c>
      <c r="L21" s="412">
        <f>+J21+K21</f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6</v>
      </c>
      <c r="C22" s="399">
        <f t="shared" si="1"/>
        <v>3783</v>
      </c>
      <c r="D22" s="399">
        <f t="shared" si="1"/>
        <v>3789</v>
      </c>
      <c r="E22" s="399">
        <f t="shared" si="1"/>
        <v>11408</v>
      </c>
      <c r="F22" s="399">
        <f t="shared" si="1"/>
        <v>-458</v>
      </c>
      <c r="G22" s="399">
        <f t="shared" si="1"/>
        <v>10950</v>
      </c>
      <c r="H22" s="399">
        <f t="shared" si="1"/>
        <v>19206</v>
      </c>
      <c r="I22" s="399">
        <f t="shared" si="1"/>
        <v>-483</v>
      </c>
      <c r="J22" s="399">
        <f t="shared" si="1"/>
        <v>18723</v>
      </c>
      <c r="K22" s="399">
        <f t="shared" si="1"/>
        <v>3846</v>
      </c>
      <c r="L22" s="399">
        <f t="shared" si="1"/>
        <v>12</v>
      </c>
      <c r="M22" s="399">
        <f t="shared" si="1"/>
        <v>3858</v>
      </c>
    </row>
    <row r="23" spans="1:13" s="902" customFormat="1" ht="12.75">
      <c r="A23" s="903" t="s">
        <v>86</v>
      </c>
      <c r="B23" s="399">
        <f aca="true" t="shared" si="2" ref="B23:M23">SUM(B18+B22)</f>
        <v>111634</v>
      </c>
      <c r="C23" s="399">
        <f t="shared" si="2"/>
        <v>3795</v>
      </c>
      <c r="D23" s="399">
        <f t="shared" si="2"/>
        <v>115429</v>
      </c>
      <c r="E23" s="399">
        <f t="shared" si="2"/>
        <v>123938</v>
      </c>
      <c r="F23" s="399">
        <f t="shared" si="2"/>
        <v>-358</v>
      </c>
      <c r="G23" s="399">
        <f t="shared" si="2"/>
        <v>123580</v>
      </c>
      <c r="H23" s="399">
        <f t="shared" si="2"/>
        <v>101422</v>
      </c>
      <c r="I23" s="399">
        <f t="shared" si="2"/>
        <v>-399</v>
      </c>
      <c r="J23" s="399">
        <f t="shared" si="2"/>
        <v>101023</v>
      </c>
      <c r="K23" s="399">
        <f t="shared" si="2"/>
        <v>89923</v>
      </c>
      <c r="L23" s="399">
        <f t="shared" si="2"/>
        <v>476</v>
      </c>
      <c r="M23" s="399">
        <f t="shared" si="2"/>
        <v>90399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5" customHeight="1">
      <c r="A25" s="438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>+E25+F25</f>
        <v>0</v>
      </c>
      <c r="H25" s="412">
        <f>+F25+G25</f>
        <v>0</v>
      </c>
      <c r="I25" s="412">
        <f>+G25+H25</f>
        <v>0</v>
      </c>
      <c r="J25" s="412">
        <f>+H25+I25</f>
        <v>0</v>
      </c>
      <c r="K25" s="412">
        <v>0</v>
      </c>
      <c r="L25" s="412">
        <v>0</v>
      </c>
      <c r="M25" s="412">
        <f aca="true" t="shared" si="4" ref="M25:M33">+K25+L25</f>
        <v>0</v>
      </c>
    </row>
    <row r="26" spans="1:13" s="388" customFormat="1" ht="24">
      <c r="A26" s="438" t="s">
        <v>492</v>
      </c>
      <c r="B26" s="412">
        <v>5456</v>
      </c>
      <c r="C26" s="412">
        <v>0</v>
      </c>
      <c r="D26" s="412">
        <f t="shared" si="3"/>
        <v>5456</v>
      </c>
      <c r="E26" s="412">
        <v>5315</v>
      </c>
      <c r="F26" s="412">
        <v>0</v>
      </c>
      <c r="G26" s="412">
        <f aca="true" t="shared" si="5" ref="G26:G33">+E26+F26</f>
        <v>5315</v>
      </c>
      <c r="H26" s="412">
        <v>5166</v>
      </c>
      <c r="I26" s="412">
        <v>0</v>
      </c>
      <c r="J26" s="412">
        <f aca="true" t="shared" si="6" ref="J26:J33">+H26+I26</f>
        <v>5166</v>
      </c>
      <c r="K26" s="412">
        <v>5211</v>
      </c>
      <c r="L26" s="412">
        <v>0</v>
      </c>
      <c r="M26" s="412">
        <f t="shared" si="4"/>
        <v>5211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f>+C27+D27</f>
        <v>0</v>
      </c>
      <c r="F27" s="412">
        <f>+D27+E27</f>
        <v>0</v>
      </c>
      <c r="G27" s="412">
        <f t="shared" si="5"/>
        <v>0</v>
      </c>
      <c r="H27" s="412">
        <f>+F27+G27</f>
        <v>0</v>
      </c>
      <c r="I27" s="412">
        <f>+G27+H27</f>
        <v>0</v>
      </c>
      <c r="J27" s="412">
        <f t="shared" si="6"/>
        <v>0</v>
      </c>
      <c r="K27" s="412">
        <f>+I27+J27</f>
        <v>0</v>
      </c>
      <c r="L27" s="412">
        <f>+J27+K27</f>
        <v>0</v>
      </c>
      <c r="M27" s="412">
        <f t="shared" si="4"/>
        <v>0</v>
      </c>
    </row>
    <row r="28" spans="1:13" s="388" customFormat="1" ht="12.75">
      <c r="A28" s="629" t="s">
        <v>164</v>
      </c>
      <c r="B28" s="412">
        <v>819</v>
      </c>
      <c r="C28" s="412">
        <v>0</v>
      </c>
      <c r="D28" s="412">
        <f t="shared" si="3"/>
        <v>819</v>
      </c>
      <c r="E28" s="412">
        <v>796</v>
      </c>
      <c r="F28" s="412">
        <v>0</v>
      </c>
      <c r="G28" s="412">
        <f t="shared" si="5"/>
        <v>796</v>
      </c>
      <c r="H28" s="412">
        <v>775</v>
      </c>
      <c r="I28" s="412">
        <v>0</v>
      </c>
      <c r="J28" s="412">
        <f t="shared" si="6"/>
        <v>775</v>
      </c>
      <c r="K28" s="412">
        <v>782</v>
      </c>
      <c r="L28" s="412">
        <v>0</v>
      </c>
      <c r="M28" s="412">
        <f t="shared" si="4"/>
        <v>782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5"/>
        <v>0</v>
      </c>
      <c r="H29" s="412">
        <v>0</v>
      </c>
      <c r="I29" s="412">
        <v>0</v>
      </c>
      <c r="J29" s="412">
        <f t="shared" si="6"/>
        <v>0</v>
      </c>
      <c r="K29" s="412">
        <f>+I29+J29</f>
        <v>0</v>
      </c>
      <c r="L29" s="412">
        <f>+J29+K29</f>
        <v>0</v>
      </c>
      <c r="M29" s="412">
        <f t="shared" si="4"/>
        <v>0</v>
      </c>
    </row>
    <row r="30" spans="1:13" s="388" customFormat="1" ht="22.5">
      <c r="A30" s="907" t="s">
        <v>165</v>
      </c>
      <c r="B30" s="412">
        <v>0</v>
      </c>
      <c r="C30" s="412">
        <v>0</v>
      </c>
      <c r="D30" s="412">
        <f t="shared" si="3"/>
        <v>0</v>
      </c>
      <c r="E30" s="412">
        <v>8</v>
      </c>
      <c r="F30" s="412">
        <v>0</v>
      </c>
      <c r="G30" s="412">
        <f t="shared" si="5"/>
        <v>8</v>
      </c>
      <c r="H30" s="412">
        <v>70</v>
      </c>
      <c r="I30" s="412">
        <v>0</v>
      </c>
      <c r="J30" s="412">
        <f t="shared" si="6"/>
        <v>70</v>
      </c>
      <c r="K30" s="412">
        <v>0</v>
      </c>
      <c r="L30" s="412">
        <v>0</v>
      </c>
      <c r="M30" s="412">
        <f t="shared" si="4"/>
        <v>0</v>
      </c>
    </row>
    <row r="31" spans="1:13" s="388" customFormat="1" ht="22.5">
      <c r="A31" s="908" t="s">
        <v>166</v>
      </c>
      <c r="B31" s="412">
        <v>0</v>
      </c>
      <c r="C31" s="412">
        <v>0</v>
      </c>
      <c r="D31" s="412">
        <f t="shared" si="3"/>
        <v>0</v>
      </c>
      <c r="E31" s="412">
        <f>+C31+D31</f>
        <v>0</v>
      </c>
      <c r="F31" s="412">
        <f>+D31+E31</f>
        <v>0</v>
      </c>
      <c r="G31" s="412">
        <f t="shared" si="5"/>
        <v>0</v>
      </c>
      <c r="H31" s="412">
        <f>+F31+G31</f>
        <v>0</v>
      </c>
      <c r="I31" s="412">
        <f>+G31+H31</f>
        <v>0</v>
      </c>
      <c r="J31" s="412">
        <f t="shared" si="6"/>
        <v>0</v>
      </c>
      <c r="K31" s="412">
        <f>+I31+J31</f>
        <v>0</v>
      </c>
      <c r="L31" s="412">
        <f>+J31+K31</f>
        <v>0</v>
      </c>
      <c r="M31" s="412">
        <f t="shared" si="4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f>+C32+D32</f>
        <v>0</v>
      </c>
      <c r="F32" s="412">
        <f>+D32+E32</f>
        <v>0</v>
      </c>
      <c r="G32" s="412">
        <f t="shared" si="5"/>
        <v>0</v>
      </c>
      <c r="H32" s="412">
        <f>+F32+G32</f>
        <v>0</v>
      </c>
      <c r="I32" s="412">
        <f>+G32+H32</f>
        <v>0</v>
      </c>
      <c r="J32" s="412">
        <f t="shared" si="6"/>
        <v>0</v>
      </c>
      <c r="K32" s="412">
        <f>+I32+J32</f>
        <v>0</v>
      </c>
      <c r="L32" s="412">
        <f>+J32+K32</f>
        <v>0</v>
      </c>
      <c r="M32" s="412">
        <f t="shared" si="4"/>
        <v>0</v>
      </c>
    </row>
    <row r="33" spans="1:13" s="388" customFormat="1" ht="12.75">
      <c r="A33" s="629" t="s">
        <v>168</v>
      </c>
      <c r="B33" s="412">
        <v>5513</v>
      </c>
      <c r="C33" s="412">
        <v>0</v>
      </c>
      <c r="D33" s="412">
        <f t="shared" si="3"/>
        <v>5513</v>
      </c>
      <c r="E33" s="412">
        <v>4944</v>
      </c>
      <c r="F33" s="412">
        <v>0</v>
      </c>
      <c r="G33" s="412">
        <f t="shared" si="5"/>
        <v>4944</v>
      </c>
      <c r="H33" s="412">
        <v>2509</v>
      </c>
      <c r="I33" s="412"/>
      <c r="J33" s="412">
        <f t="shared" si="6"/>
        <v>2509</v>
      </c>
      <c r="K33" s="412">
        <v>2771</v>
      </c>
      <c r="L33" s="412"/>
      <c r="M33" s="412">
        <f t="shared" si="4"/>
        <v>2771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99846</v>
      </c>
      <c r="C34" s="412">
        <f t="shared" si="7"/>
        <v>3795</v>
      </c>
      <c r="D34" s="412">
        <f t="shared" si="7"/>
        <v>103641</v>
      </c>
      <c r="E34" s="412">
        <f t="shared" si="7"/>
        <v>112875</v>
      </c>
      <c r="F34" s="412">
        <f t="shared" si="7"/>
        <v>-358</v>
      </c>
      <c r="G34" s="412">
        <f t="shared" si="7"/>
        <v>112517</v>
      </c>
      <c r="H34" s="412">
        <f t="shared" si="7"/>
        <v>92902</v>
      </c>
      <c r="I34" s="412">
        <f t="shared" si="7"/>
        <v>-399</v>
      </c>
      <c r="J34" s="412">
        <f t="shared" si="7"/>
        <v>92503</v>
      </c>
      <c r="K34" s="412">
        <f t="shared" si="7"/>
        <v>81159</v>
      </c>
      <c r="L34" s="412">
        <f t="shared" si="7"/>
        <v>476</v>
      </c>
      <c r="M34" s="412">
        <f t="shared" si="7"/>
        <v>81635</v>
      </c>
    </row>
    <row r="35" spans="1:13" ht="12.75">
      <c r="A35" s="909" t="s">
        <v>211</v>
      </c>
      <c r="B35" s="66">
        <v>37014</v>
      </c>
      <c r="C35" s="66">
        <f>36920-B35+C36</f>
        <v>70</v>
      </c>
      <c r="D35" s="66">
        <f>+B35+C35</f>
        <v>37084</v>
      </c>
      <c r="E35" s="66">
        <v>39411</v>
      </c>
      <c r="F35" s="66">
        <f>39422-E35+F36</f>
        <v>198</v>
      </c>
      <c r="G35" s="66">
        <f>+E35+F35</f>
        <v>39609</v>
      </c>
      <c r="H35" s="66">
        <v>35928</v>
      </c>
      <c r="I35" s="66">
        <f>36040-H35+I36</f>
        <v>252</v>
      </c>
      <c r="J35" s="66">
        <f>+H35+I35</f>
        <v>36180</v>
      </c>
      <c r="K35" s="66">
        <v>30225</v>
      </c>
      <c r="L35" s="66">
        <f>30127-K35+L36</f>
        <v>42</v>
      </c>
      <c r="M35" s="66">
        <f>+K35+L35</f>
        <v>30267</v>
      </c>
    </row>
    <row r="36" spans="1:13" ht="22.5">
      <c r="A36" s="905" t="s">
        <v>686</v>
      </c>
      <c r="B36" s="66"/>
      <c r="C36" s="66">
        <v>164</v>
      </c>
      <c r="D36" s="66">
        <f>+B36+C36</f>
        <v>164</v>
      </c>
      <c r="E36" s="66"/>
      <c r="F36" s="66">
        <v>187</v>
      </c>
      <c r="G36" s="66">
        <f>+E36+F36</f>
        <v>187</v>
      </c>
      <c r="H36" s="66"/>
      <c r="I36" s="66">
        <v>140</v>
      </c>
      <c r="J36" s="66">
        <f>+H36+I36</f>
        <v>140</v>
      </c>
      <c r="K36" s="66">
        <v>0</v>
      </c>
      <c r="L36" s="66">
        <v>140</v>
      </c>
      <c r="M36" s="66">
        <f>+K36+L36</f>
        <v>140</v>
      </c>
    </row>
    <row r="37" spans="1:13" s="177" customFormat="1" ht="12.75">
      <c r="A37" s="906" t="s">
        <v>88</v>
      </c>
      <c r="B37" s="67">
        <f aca="true" t="shared" si="8" ref="B37:M37">SUM(B25:B34)</f>
        <v>111634</v>
      </c>
      <c r="C37" s="67">
        <f t="shared" si="8"/>
        <v>3795</v>
      </c>
      <c r="D37" s="67">
        <f t="shared" si="8"/>
        <v>115429</v>
      </c>
      <c r="E37" s="67">
        <f t="shared" si="8"/>
        <v>123938</v>
      </c>
      <c r="F37" s="67">
        <f t="shared" si="8"/>
        <v>-358</v>
      </c>
      <c r="G37" s="67">
        <f t="shared" si="8"/>
        <v>123580</v>
      </c>
      <c r="H37" s="67">
        <f t="shared" si="8"/>
        <v>101422</v>
      </c>
      <c r="I37" s="67">
        <f t="shared" si="8"/>
        <v>-399</v>
      </c>
      <c r="J37" s="67">
        <f t="shared" si="8"/>
        <v>101023</v>
      </c>
      <c r="K37" s="67">
        <f t="shared" si="8"/>
        <v>89923</v>
      </c>
      <c r="L37" s="67">
        <f t="shared" si="8"/>
        <v>476</v>
      </c>
      <c r="M37" s="67">
        <f t="shared" si="8"/>
        <v>90399</v>
      </c>
    </row>
  </sheetData>
  <printOptions horizontalCentered="1"/>
  <pageMargins left="0" right="0" top="0" bottom="0.31496062992125984" header="0" footer="0"/>
  <pageSetup horizontalDpi="300" verticalDpi="300" orientation="landscape" paperSize="9" r:id="rId1"/>
  <headerFooter alignWithMargins="0">
    <oddHeader>&amp;C&amp;8 3&amp;R&amp;"Times New Roman,Normál"6/a. számú melléklet</oddHeader>
    <oddFooter>&amp;L&amp;"Times New Roman,Normál"&amp;8&amp;F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28.8515625" style="26" customWidth="1"/>
    <col min="2" max="2" width="9.8515625" style="26" customWidth="1"/>
    <col min="3" max="3" width="8.00390625" style="26" customWidth="1"/>
    <col min="4" max="4" width="9.421875" style="26" bestFit="1" customWidth="1"/>
    <col min="5" max="5" width="10.00390625" style="26" customWidth="1"/>
    <col min="6" max="6" width="7.57421875" style="26" customWidth="1"/>
    <col min="7" max="7" width="9.421875" style="26" bestFit="1" customWidth="1"/>
    <col min="8" max="8" width="9.8515625" style="26" customWidth="1"/>
    <col min="9" max="9" width="7.7109375" style="26" customWidth="1"/>
    <col min="10" max="10" width="9.421875" style="26" bestFit="1" customWidth="1"/>
    <col min="11" max="11" width="10.00390625" style="26" customWidth="1"/>
    <col min="12" max="12" width="7.710937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13</v>
      </c>
      <c r="C4" s="168"/>
      <c r="D4" s="119"/>
      <c r="E4" s="894">
        <v>14</v>
      </c>
      <c r="F4" s="168"/>
      <c r="G4" s="119"/>
      <c r="H4" s="894">
        <v>15</v>
      </c>
      <c r="I4" s="168"/>
      <c r="J4" s="119"/>
      <c r="K4" s="894">
        <v>16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695</v>
      </c>
      <c r="C6" s="168"/>
      <c r="D6" s="119"/>
      <c r="E6" s="894" t="s">
        <v>696</v>
      </c>
      <c r="F6" s="168"/>
      <c r="G6" s="119"/>
      <c r="H6" s="894" t="s">
        <v>697</v>
      </c>
      <c r="I6" s="168"/>
      <c r="J6" s="119"/>
      <c r="K6" s="894" t="s">
        <v>698</v>
      </c>
      <c r="L6" s="168"/>
      <c r="M6" s="119"/>
    </row>
    <row r="7" spans="1:13" ht="12.75">
      <c r="A7" s="892" t="s">
        <v>145</v>
      </c>
      <c r="B7" s="894">
        <v>801115</v>
      </c>
      <c r="C7" s="168"/>
      <c r="D7" s="119"/>
      <c r="E7" s="894">
        <v>801115</v>
      </c>
      <c r="F7" s="168"/>
      <c r="G7" s="119"/>
      <c r="H7" s="894">
        <v>801115</v>
      </c>
      <c r="I7" s="168"/>
      <c r="J7" s="119"/>
      <c r="K7" s="894">
        <v>801115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20.5</v>
      </c>
      <c r="C11" s="901"/>
      <c r="D11" s="901">
        <f>+B11+C11</f>
        <v>20.5</v>
      </c>
      <c r="E11" s="901">
        <v>20</v>
      </c>
      <c r="F11" s="901"/>
      <c r="G11" s="901">
        <f>+E11+F11</f>
        <v>20</v>
      </c>
      <c r="H11" s="901">
        <v>19.5</v>
      </c>
      <c r="I11" s="901"/>
      <c r="J11" s="901">
        <f>+H11+I11</f>
        <v>19.5</v>
      </c>
      <c r="K11" s="901">
        <v>23</v>
      </c>
      <c r="L11" s="901"/>
      <c r="M11" s="901">
        <f>+K11+L11</f>
        <v>23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44139+2970</f>
        <v>47109</v>
      </c>
      <c r="C13" s="412">
        <v>0</v>
      </c>
      <c r="D13" s="412">
        <f>+B13+C13</f>
        <v>47109</v>
      </c>
      <c r="E13" s="412">
        <f>43649+3762</f>
        <v>47411</v>
      </c>
      <c r="F13" s="412">
        <v>0</v>
      </c>
      <c r="G13" s="412">
        <f>+E13+F13</f>
        <v>47411</v>
      </c>
      <c r="H13" s="412">
        <f>42674+3223</f>
        <v>45897</v>
      </c>
      <c r="I13" s="412">
        <v>0</v>
      </c>
      <c r="J13" s="412">
        <f>+H13+I13</f>
        <v>45897</v>
      </c>
      <c r="K13" s="412">
        <f>52039+3912</f>
        <v>55951</v>
      </c>
      <c r="L13" s="412">
        <v>0</v>
      </c>
      <c r="M13" s="412">
        <f>+K13+L13</f>
        <v>55951</v>
      </c>
    </row>
    <row r="14" spans="1:13" s="388" customFormat="1" ht="12.75">
      <c r="A14" s="629" t="s">
        <v>519</v>
      </c>
      <c r="B14" s="412">
        <f>14101+902</f>
        <v>15003</v>
      </c>
      <c r="C14" s="412">
        <v>0</v>
      </c>
      <c r="D14" s="412">
        <f>+B14+C14</f>
        <v>15003</v>
      </c>
      <c r="E14" s="412">
        <f>14138+1126</f>
        <v>15264</v>
      </c>
      <c r="F14" s="412">
        <v>0</v>
      </c>
      <c r="G14" s="412">
        <f>+E14+F14</f>
        <v>15264</v>
      </c>
      <c r="H14" s="412">
        <f>13623+957</f>
        <v>14580</v>
      </c>
      <c r="I14" s="412">
        <v>0</v>
      </c>
      <c r="J14" s="412">
        <f>+H14+I14</f>
        <v>14580</v>
      </c>
      <c r="K14" s="412">
        <f>16860+1171</f>
        <v>18031</v>
      </c>
      <c r="L14" s="412">
        <v>0</v>
      </c>
      <c r="M14" s="412">
        <f>+K14+L14</f>
        <v>18031</v>
      </c>
    </row>
    <row r="15" spans="1:13" s="388" customFormat="1" ht="12.75">
      <c r="A15" s="629" t="s">
        <v>520</v>
      </c>
      <c r="B15" s="412">
        <f>13936+441</f>
        <v>14377</v>
      </c>
      <c r="C15" s="412">
        <v>51</v>
      </c>
      <c r="D15" s="412">
        <f>+B15+C15</f>
        <v>14428</v>
      </c>
      <c r="E15" s="412">
        <f>11979+368</f>
        <v>12347</v>
      </c>
      <c r="F15" s="412">
        <v>37</v>
      </c>
      <c r="G15" s="412">
        <f>+E15+F15</f>
        <v>12384</v>
      </c>
      <c r="H15" s="412">
        <f>17406+792</f>
        <v>18198</v>
      </c>
      <c r="I15" s="412">
        <v>65</v>
      </c>
      <c r="J15" s="412">
        <f>+H15+I15</f>
        <v>18263</v>
      </c>
      <c r="K15" s="412">
        <f>20019+1509</f>
        <v>21528</v>
      </c>
      <c r="L15" s="412">
        <v>333</v>
      </c>
      <c r="M15" s="412">
        <f>+K15+L15</f>
        <v>21861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v>0</v>
      </c>
      <c r="F17" s="412"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v>0</v>
      </c>
      <c r="L17" s="412"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76489</v>
      </c>
      <c r="C18" s="399">
        <f t="shared" si="0"/>
        <v>51</v>
      </c>
      <c r="D18" s="399">
        <f t="shared" si="0"/>
        <v>76540</v>
      </c>
      <c r="E18" s="399">
        <f t="shared" si="0"/>
        <v>75022</v>
      </c>
      <c r="F18" s="399">
        <f t="shared" si="0"/>
        <v>37</v>
      </c>
      <c r="G18" s="399">
        <f t="shared" si="0"/>
        <v>75059</v>
      </c>
      <c r="H18" s="399">
        <f t="shared" si="0"/>
        <v>78675</v>
      </c>
      <c r="I18" s="399">
        <f t="shared" si="0"/>
        <v>65</v>
      </c>
      <c r="J18" s="399">
        <f t="shared" si="0"/>
        <v>78740</v>
      </c>
      <c r="K18" s="399">
        <f t="shared" si="0"/>
        <v>95510</v>
      </c>
      <c r="L18" s="399">
        <f t="shared" si="0"/>
        <v>333</v>
      </c>
      <c r="M18" s="399">
        <f t="shared" si="0"/>
        <v>95843</v>
      </c>
    </row>
    <row r="19" spans="1:13" s="388" customFormat="1" ht="12.75">
      <c r="A19" s="629" t="s">
        <v>171</v>
      </c>
      <c r="B19" s="412">
        <v>0</v>
      </c>
      <c r="C19" s="412">
        <v>0</v>
      </c>
      <c r="D19" s="412">
        <f>+B19+C19</f>
        <v>0</v>
      </c>
      <c r="E19" s="412">
        <v>0</v>
      </c>
      <c r="F19" s="412">
        <v>0</v>
      </c>
      <c r="G19" s="412">
        <f>+E19+F19</f>
        <v>0</v>
      </c>
      <c r="H19" s="412">
        <v>0</v>
      </c>
      <c r="I19" s="412">
        <v>0</v>
      </c>
      <c r="J19" s="412">
        <f>+H19+I19</f>
        <v>0</v>
      </c>
      <c r="K19" s="412">
        <v>0</v>
      </c>
      <c r="L19" s="412">
        <v>0</v>
      </c>
      <c r="M19" s="412">
        <f>+K19+L19</f>
        <v>0</v>
      </c>
    </row>
    <row r="20" spans="1:13" s="388" customFormat="1" ht="12.75">
      <c r="A20" s="629" t="s">
        <v>172</v>
      </c>
      <c r="B20" s="412">
        <f>3+268</f>
        <v>271</v>
      </c>
      <c r="C20" s="412">
        <v>0</v>
      </c>
      <c r="D20" s="412">
        <f>+B20+C20</f>
        <v>271</v>
      </c>
      <c r="E20" s="412">
        <v>3</v>
      </c>
      <c r="F20" s="412">
        <v>0</v>
      </c>
      <c r="G20" s="412">
        <f>+E20+F20</f>
        <v>3</v>
      </c>
      <c r="H20" s="412">
        <v>6</v>
      </c>
      <c r="I20" s="412">
        <v>0</v>
      </c>
      <c r="J20" s="412">
        <f>+H20+I20</f>
        <v>6</v>
      </c>
      <c r="K20" s="412">
        <v>6</v>
      </c>
      <c r="L20" s="412">
        <v>0</v>
      </c>
      <c r="M20" s="412">
        <f>+K20+L20</f>
        <v>6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271</v>
      </c>
      <c r="C22" s="399">
        <f t="shared" si="1"/>
        <v>0</v>
      </c>
      <c r="D22" s="399">
        <f t="shared" si="1"/>
        <v>271</v>
      </c>
      <c r="E22" s="399">
        <f t="shared" si="1"/>
        <v>3</v>
      </c>
      <c r="F22" s="399">
        <f t="shared" si="1"/>
        <v>0</v>
      </c>
      <c r="G22" s="399">
        <f t="shared" si="1"/>
        <v>3</v>
      </c>
      <c r="H22" s="399">
        <f t="shared" si="1"/>
        <v>6</v>
      </c>
      <c r="I22" s="399">
        <f t="shared" si="1"/>
        <v>0</v>
      </c>
      <c r="J22" s="399">
        <f t="shared" si="1"/>
        <v>6</v>
      </c>
      <c r="K22" s="399">
        <f t="shared" si="1"/>
        <v>6</v>
      </c>
      <c r="L22" s="399">
        <f t="shared" si="1"/>
        <v>0</v>
      </c>
      <c r="M22" s="399">
        <f t="shared" si="1"/>
        <v>6</v>
      </c>
    </row>
    <row r="23" spans="1:13" s="902" customFormat="1" ht="12.75">
      <c r="A23" s="903" t="s">
        <v>86</v>
      </c>
      <c r="B23" s="399">
        <f aca="true" t="shared" si="2" ref="B23:M23">SUM(B18+B22)</f>
        <v>76760</v>
      </c>
      <c r="C23" s="399">
        <f t="shared" si="2"/>
        <v>51</v>
      </c>
      <c r="D23" s="399">
        <f t="shared" si="2"/>
        <v>76811</v>
      </c>
      <c r="E23" s="399">
        <f t="shared" si="2"/>
        <v>75025</v>
      </c>
      <c r="F23" s="399">
        <f t="shared" si="2"/>
        <v>37</v>
      </c>
      <c r="G23" s="399">
        <f t="shared" si="2"/>
        <v>75062</v>
      </c>
      <c r="H23" s="399">
        <f t="shared" si="2"/>
        <v>78681</v>
      </c>
      <c r="I23" s="399">
        <f t="shared" si="2"/>
        <v>65</v>
      </c>
      <c r="J23" s="399">
        <f t="shared" si="2"/>
        <v>78746</v>
      </c>
      <c r="K23" s="399">
        <f t="shared" si="2"/>
        <v>95516</v>
      </c>
      <c r="L23" s="399">
        <f t="shared" si="2"/>
        <v>333</v>
      </c>
      <c r="M23" s="399">
        <f t="shared" si="2"/>
        <v>95849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24">
      <c r="A25" s="438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>
        <v>0</v>
      </c>
      <c r="I25" s="412">
        <v>0</v>
      </c>
      <c r="J25" s="412">
        <f aca="true" t="shared" si="5" ref="J25:J33">+H25+I25</f>
        <v>0</v>
      </c>
      <c r="K25" s="412">
        <v>0</v>
      </c>
      <c r="L25" s="412">
        <v>0</v>
      </c>
      <c r="M25" s="412">
        <f aca="true" t="shared" si="6" ref="M25:M33">+K25+L25</f>
        <v>0</v>
      </c>
    </row>
    <row r="26" spans="1:13" s="388" customFormat="1" ht="24">
      <c r="A26" s="438" t="s">
        <v>492</v>
      </c>
      <c r="B26" s="412">
        <v>3126</v>
      </c>
      <c r="C26" s="412">
        <v>0</v>
      </c>
      <c r="D26" s="412">
        <f t="shared" si="3"/>
        <v>3126</v>
      </c>
      <c r="E26" s="412">
        <v>2961</v>
      </c>
      <c r="F26" s="412">
        <v>0</v>
      </c>
      <c r="G26" s="412">
        <f t="shared" si="4"/>
        <v>2961</v>
      </c>
      <c r="H26" s="412">
        <v>4143</v>
      </c>
      <c r="I26" s="412">
        <v>0</v>
      </c>
      <c r="J26" s="412">
        <f t="shared" si="5"/>
        <v>4143</v>
      </c>
      <c r="K26" s="412">
        <v>4989</v>
      </c>
      <c r="L26" s="412">
        <v>0</v>
      </c>
      <c r="M26" s="412">
        <f t="shared" si="6"/>
        <v>4989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v>0</v>
      </c>
      <c r="F27" s="412">
        <v>0</v>
      </c>
      <c r="G27" s="412">
        <f t="shared" si="4"/>
        <v>0</v>
      </c>
      <c r="H27" s="412">
        <v>0</v>
      </c>
      <c r="I27" s="412">
        <v>0</v>
      </c>
      <c r="J27" s="412">
        <f t="shared" si="5"/>
        <v>0</v>
      </c>
      <c r="K27" s="412">
        <v>0</v>
      </c>
      <c r="L27" s="412">
        <v>0</v>
      </c>
      <c r="M27" s="412">
        <f t="shared" si="6"/>
        <v>0</v>
      </c>
    </row>
    <row r="28" spans="1:13" s="388" customFormat="1" ht="12.75">
      <c r="A28" s="629" t="s">
        <v>164</v>
      </c>
      <c r="B28" s="412">
        <v>469</v>
      </c>
      <c r="C28" s="412">
        <v>0</v>
      </c>
      <c r="D28" s="412">
        <f t="shared" si="3"/>
        <v>469</v>
      </c>
      <c r="E28" s="412">
        <v>433</v>
      </c>
      <c r="F28" s="412">
        <v>0</v>
      </c>
      <c r="G28" s="412">
        <f t="shared" si="4"/>
        <v>433</v>
      </c>
      <c r="H28" s="412">
        <v>611</v>
      </c>
      <c r="I28" s="412">
        <v>0</v>
      </c>
      <c r="J28" s="412">
        <f t="shared" si="5"/>
        <v>611</v>
      </c>
      <c r="K28" s="412">
        <v>748</v>
      </c>
      <c r="L28" s="412">
        <v>0</v>
      </c>
      <c r="M28" s="412">
        <f t="shared" si="6"/>
        <v>748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4"/>
        <v>0</v>
      </c>
      <c r="H29" s="412">
        <v>0</v>
      </c>
      <c r="I29" s="412">
        <v>0</v>
      </c>
      <c r="J29" s="412">
        <f t="shared" si="5"/>
        <v>0</v>
      </c>
      <c r="K29" s="412">
        <v>0</v>
      </c>
      <c r="L29" s="412">
        <v>0</v>
      </c>
      <c r="M29" s="412">
        <f t="shared" si="6"/>
        <v>0</v>
      </c>
    </row>
    <row r="30" spans="1:13" s="388" customFormat="1" ht="22.5">
      <c r="A30" s="907" t="s">
        <v>165</v>
      </c>
      <c r="B30" s="412">
        <v>0</v>
      </c>
      <c r="C30" s="412">
        <v>0</v>
      </c>
      <c r="D30" s="412">
        <f t="shared" si="3"/>
        <v>0</v>
      </c>
      <c r="E30" s="412">
        <v>0</v>
      </c>
      <c r="F30" s="412">
        <v>0</v>
      </c>
      <c r="G30" s="412">
        <f t="shared" si="4"/>
        <v>0</v>
      </c>
      <c r="H30" s="412">
        <v>0</v>
      </c>
      <c r="I30" s="412">
        <v>0</v>
      </c>
      <c r="J30" s="412">
        <f t="shared" si="5"/>
        <v>0</v>
      </c>
      <c r="K30" s="412">
        <v>205</v>
      </c>
      <c r="L30" s="412">
        <v>0</v>
      </c>
      <c r="M30" s="412">
        <f t="shared" si="6"/>
        <v>205</v>
      </c>
    </row>
    <row r="31" spans="1:13" s="388" customFormat="1" ht="22.5">
      <c r="A31" s="908" t="s">
        <v>166</v>
      </c>
      <c r="B31" s="412">
        <v>228</v>
      </c>
      <c r="C31" s="412">
        <v>0</v>
      </c>
      <c r="D31" s="412">
        <f t="shared" si="3"/>
        <v>228</v>
      </c>
      <c r="E31" s="412">
        <v>0</v>
      </c>
      <c r="F31" s="412">
        <v>0</v>
      </c>
      <c r="G31" s="412">
        <f t="shared" si="4"/>
        <v>0</v>
      </c>
      <c r="H31" s="412">
        <v>0</v>
      </c>
      <c r="I31" s="412">
        <v>0</v>
      </c>
      <c r="J31" s="412">
        <f t="shared" si="5"/>
        <v>0</v>
      </c>
      <c r="K31" s="412">
        <v>0</v>
      </c>
      <c r="L31" s="412">
        <v>0</v>
      </c>
      <c r="M31" s="412">
        <f t="shared" si="6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>
        <v>0</v>
      </c>
      <c r="I32" s="412">
        <v>0</v>
      </c>
      <c r="J32" s="412">
        <f t="shared" si="5"/>
        <v>0</v>
      </c>
      <c r="K32" s="412">
        <v>0</v>
      </c>
      <c r="L32" s="412">
        <v>0</v>
      </c>
      <c r="M32" s="412">
        <f t="shared" si="6"/>
        <v>0</v>
      </c>
    </row>
    <row r="33" spans="1:13" s="388" customFormat="1" ht="12.75">
      <c r="A33" s="629" t="s">
        <v>168</v>
      </c>
      <c r="B33" s="412">
        <v>3083</v>
      </c>
      <c r="C33" s="412">
        <v>0</v>
      </c>
      <c r="D33" s="412">
        <f t="shared" si="3"/>
        <v>3083</v>
      </c>
      <c r="E33" s="412">
        <v>4095</v>
      </c>
      <c r="F33" s="412">
        <v>0</v>
      </c>
      <c r="G33" s="412">
        <f t="shared" si="4"/>
        <v>4095</v>
      </c>
      <c r="H33" s="412">
        <v>3740</v>
      </c>
      <c r="I33" s="412">
        <v>0</v>
      </c>
      <c r="J33" s="412">
        <f t="shared" si="5"/>
        <v>3740</v>
      </c>
      <c r="K33" s="412">
        <v>5000</v>
      </c>
      <c r="L33" s="412">
        <v>0</v>
      </c>
      <c r="M33" s="412">
        <f t="shared" si="6"/>
        <v>5000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69854</v>
      </c>
      <c r="C34" s="412">
        <f t="shared" si="7"/>
        <v>51</v>
      </c>
      <c r="D34" s="412">
        <f t="shared" si="7"/>
        <v>69905</v>
      </c>
      <c r="E34" s="412">
        <f t="shared" si="7"/>
        <v>67536</v>
      </c>
      <c r="F34" s="412">
        <f t="shared" si="7"/>
        <v>37</v>
      </c>
      <c r="G34" s="412">
        <f t="shared" si="7"/>
        <v>67573</v>
      </c>
      <c r="H34" s="412">
        <f t="shared" si="7"/>
        <v>70187</v>
      </c>
      <c r="I34" s="412">
        <f t="shared" si="7"/>
        <v>65</v>
      </c>
      <c r="J34" s="412">
        <f t="shared" si="7"/>
        <v>70252</v>
      </c>
      <c r="K34" s="412">
        <f t="shared" si="7"/>
        <v>84574</v>
      </c>
      <c r="L34" s="412">
        <f t="shared" si="7"/>
        <v>333</v>
      </c>
      <c r="M34" s="412">
        <f t="shared" si="7"/>
        <v>84907</v>
      </c>
    </row>
    <row r="35" spans="1:13" ht="12.75">
      <c r="A35" s="909" t="s">
        <v>211</v>
      </c>
      <c r="B35" s="66">
        <v>24466</v>
      </c>
      <c r="C35" s="66">
        <f>24404-B35+C36</f>
        <v>55</v>
      </c>
      <c r="D35" s="66">
        <f>+B35+C35</f>
        <v>24521</v>
      </c>
      <c r="E35" s="66">
        <v>17817</v>
      </c>
      <c r="F35" s="66">
        <f>17770-E35+F36</f>
        <v>70</v>
      </c>
      <c r="G35" s="66">
        <f>+E35+F35</f>
        <v>17887</v>
      </c>
      <c r="H35" s="66">
        <v>26083</v>
      </c>
      <c r="I35" s="66">
        <f>26000-H35+I36</f>
        <v>34</v>
      </c>
      <c r="J35" s="66">
        <f>+H35+I35</f>
        <v>26117</v>
      </c>
      <c r="K35" s="66">
        <v>30288</v>
      </c>
      <c r="L35" s="66">
        <f>30196-K35+L36</f>
        <v>48</v>
      </c>
      <c r="M35" s="66">
        <f>+K35+L35</f>
        <v>30336</v>
      </c>
    </row>
    <row r="36" spans="1:13" ht="22.5" customHeight="1">
      <c r="A36" s="905" t="s">
        <v>686</v>
      </c>
      <c r="B36" s="66"/>
      <c r="C36" s="66">
        <v>117</v>
      </c>
      <c r="D36" s="66">
        <f>+B36+C36</f>
        <v>117</v>
      </c>
      <c r="E36" s="66"/>
      <c r="F36" s="66">
        <v>117</v>
      </c>
      <c r="G36" s="66">
        <f>+E36+F36</f>
        <v>117</v>
      </c>
      <c r="H36" s="66"/>
      <c r="I36" s="66">
        <v>117</v>
      </c>
      <c r="J36" s="66">
        <f>+H36+I36</f>
        <v>117</v>
      </c>
      <c r="K36" s="66"/>
      <c r="L36" s="66">
        <v>140</v>
      </c>
      <c r="M36" s="66">
        <f>+K36+L36</f>
        <v>140</v>
      </c>
    </row>
    <row r="37" spans="1:13" s="177" customFormat="1" ht="12.75">
      <c r="A37" s="906" t="s">
        <v>88</v>
      </c>
      <c r="B37" s="67">
        <f aca="true" t="shared" si="8" ref="B37:M37">SUM(B25:B34)</f>
        <v>76760</v>
      </c>
      <c r="C37" s="67">
        <f t="shared" si="8"/>
        <v>51</v>
      </c>
      <c r="D37" s="67">
        <f t="shared" si="8"/>
        <v>76811</v>
      </c>
      <c r="E37" s="67">
        <f t="shared" si="8"/>
        <v>75025</v>
      </c>
      <c r="F37" s="67">
        <f t="shared" si="8"/>
        <v>37</v>
      </c>
      <c r="G37" s="67">
        <f t="shared" si="8"/>
        <v>75062</v>
      </c>
      <c r="H37" s="67">
        <f t="shared" si="8"/>
        <v>78681</v>
      </c>
      <c r="I37" s="67">
        <f t="shared" si="8"/>
        <v>65</v>
      </c>
      <c r="J37" s="67">
        <f t="shared" si="8"/>
        <v>78746</v>
      </c>
      <c r="K37" s="67">
        <f t="shared" si="8"/>
        <v>95516</v>
      </c>
      <c r="L37" s="67">
        <f t="shared" si="8"/>
        <v>333</v>
      </c>
      <c r="M37" s="67">
        <f t="shared" si="8"/>
        <v>95849</v>
      </c>
    </row>
  </sheetData>
  <printOptions horizontalCentered="1"/>
  <pageMargins left="0" right="0" top="0" bottom="0.11811023622047245" header="0.11811023622047245" footer="0"/>
  <pageSetup horizontalDpi="300" verticalDpi="300" orientation="landscape" paperSize="9" r:id="rId1"/>
  <headerFooter alignWithMargins="0">
    <oddHeader>&amp;C&amp;8 4 &amp;R&amp;"Times New Roman,Normál"6/a. számú melléklet</oddHeader>
    <oddFooter>&amp;L&amp;"Times New Roman,Normál"&amp;8&amp;F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7">
      <selection activeCell="F6" sqref="F6"/>
    </sheetView>
  </sheetViews>
  <sheetFormatPr defaultColWidth="9.140625" defaultRowHeight="12.75"/>
  <cols>
    <col min="1" max="1" width="4.140625" style="40" customWidth="1"/>
    <col min="2" max="2" width="37.00390625" style="39" customWidth="1"/>
    <col min="3" max="3" width="10.57421875" style="26" customWidth="1"/>
    <col min="4" max="4" width="11.00390625" style="26" customWidth="1"/>
    <col min="5" max="5" width="10.00390625" style="512" customWidth="1"/>
    <col min="6" max="6" width="12.421875" style="125" customWidth="1"/>
  </cols>
  <sheetData>
    <row r="1" spans="1:6" ht="18.75">
      <c r="A1" s="920" t="s">
        <v>273</v>
      </c>
      <c r="B1" s="920"/>
      <c r="C1" s="920"/>
      <c r="D1" s="920"/>
      <c r="E1" s="920"/>
      <c r="F1" s="920"/>
    </row>
    <row r="2" spans="1:6" ht="18.75">
      <c r="A2" s="920" t="s">
        <v>599</v>
      </c>
      <c r="B2" s="920"/>
      <c r="C2" s="920"/>
      <c r="D2" s="920"/>
      <c r="E2" s="920"/>
      <c r="F2" s="920"/>
    </row>
    <row r="3" spans="1:6" ht="18.75">
      <c r="A3" s="36"/>
      <c r="B3" s="43"/>
      <c r="C3" s="25"/>
      <c r="D3" s="25"/>
      <c r="E3" s="511"/>
      <c r="F3" s="124"/>
    </row>
    <row r="4" spans="1:6" ht="15" customHeight="1">
      <c r="A4" s="36"/>
      <c r="B4" s="43"/>
      <c r="C4" s="25"/>
      <c r="D4" s="25"/>
      <c r="E4" s="511"/>
      <c r="F4" s="124"/>
    </row>
    <row r="5" ht="12.75">
      <c r="F5" s="621" t="s">
        <v>524</v>
      </c>
    </row>
    <row r="6" spans="1:6" s="441" customFormat="1" ht="37.5" customHeight="1">
      <c r="A6" s="440" t="s">
        <v>174</v>
      </c>
      <c r="B6" s="440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333" customFormat="1" ht="9.75" customHeight="1">
      <c r="A7" s="334" t="s">
        <v>247</v>
      </c>
      <c r="B7" s="335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50" customFormat="1" ht="12.75" customHeight="1">
      <c r="A8" s="30"/>
      <c r="B8" s="710" t="s">
        <v>105</v>
      </c>
      <c r="C8" s="711"/>
      <c r="D8" s="711">
        <v>2534.5</v>
      </c>
      <c r="E8" s="711">
        <f>SUM('3.számú melléklet'!E8+'4.számú melléklet'!E8)</f>
        <v>-10</v>
      </c>
      <c r="F8" s="711">
        <f>SUM(D8:E8)</f>
        <v>2524.5</v>
      </c>
    </row>
    <row r="9" spans="1:6" s="1" customFormat="1" ht="12.75">
      <c r="A9" s="44" t="s">
        <v>247</v>
      </c>
      <c r="B9" s="38" t="s">
        <v>60</v>
      </c>
      <c r="C9" s="67">
        <f>SUM('3.számú melléklet'!C10+'4.számú melléklet'!C10)</f>
        <v>6056497</v>
      </c>
      <c r="D9" s="67">
        <f>SUM('3.számú melléklet'!D10+'4.számú melléklet'!D10)</f>
        <v>6481374</v>
      </c>
      <c r="E9" s="67">
        <f>SUM('3.számú melléklet'!E10+'4.számú melléklet'!E10)</f>
        <v>6234</v>
      </c>
      <c r="F9" s="67">
        <f>SUM('3.számú melléklet'!F10+'4.számú melléklet'!F10)</f>
        <v>6487608</v>
      </c>
    </row>
    <row r="10" spans="1:6" s="1" customFormat="1" ht="12.75" customHeight="1">
      <c r="A10" s="44" t="s">
        <v>248</v>
      </c>
      <c r="B10" s="38" t="s">
        <v>61</v>
      </c>
      <c r="C10" s="67">
        <f>SUM('3.számú melléklet'!C11+'4.számú melléklet'!C11)</f>
        <v>1933507</v>
      </c>
      <c r="D10" s="67">
        <f>SUM('3.számú melléklet'!D11+'4.számú melléklet'!D11)</f>
        <v>2062691</v>
      </c>
      <c r="E10" s="67">
        <f>SUM('3.számú melléklet'!E11+'4.számú melléklet'!E11)</f>
        <v>2307</v>
      </c>
      <c r="F10" s="67">
        <f>SUM('3.számú melléklet'!F11+'4.számú melléklet'!F11)</f>
        <v>2064998</v>
      </c>
    </row>
    <row r="11" spans="1:6" s="1" customFormat="1" ht="12.75">
      <c r="A11" s="44" t="s">
        <v>249</v>
      </c>
      <c r="B11" s="38" t="s">
        <v>62</v>
      </c>
      <c r="C11" s="67">
        <f>SUM('3.számú melléklet'!C16+'4.számú melléklet'!C12)</f>
        <v>4262883</v>
      </c>
      <c r="D11" s="67">
        <f>SUM('3.számú melléklet'!D16+'4.számú melléklet'!D12)</f>
        <v>7678058</v>
      </c>
      <c r="E11" s="67">
        <f>SUM('3.számú melléklet'!E16+'4.számú melléklet'!E12)</f>
        <v>-577026</v>
      </c>
      <c r="F11" s="67">
        <f>SUM('3.számú melléklet'!F16+'4.számú melléklet'!F12)</f>
        <v>7101032</v>
      </c>
    </row>
    <row r="12" spans="1:6" s="176" customFormat="1" ht="25.5">
      <c r="A12" s="749" t="s">
        <v>95</v>
      </c>
      <c r="B12" s="750" t="s">
        <v>209</v>
      </c>
      <c r="C12" s="751">
        <f>SUM(C13:C15)-C14</f>
        <v>438737</v>
      </c>
      <c r="D12" s="751">
        <f>SUM(D13:D15)-D14</f>
        <v>463843</v>
      </c>
      <c r="E12" s="751">
        <f>SUM(E13:E15)-E14</f>
        <v>494297</v>
      </c>
      <c r="F12" s="751">
        <f>SUM(F13:F15)-F14</f>
        <v>958140</v>
      </c>
    </row>
    <row r="13" spans="1:6" s="61" customFormat="1" ht="12.75" customHeight="1">
      <c r="A13" s="107"/>
      <c r="B13" s="754" t="s">
        <v>466</v>
      </c>
      <c r="C13" s="748">
        <f>SUM('3.számú melléklet'!C18+'4.számú melléklet'!C13)</f>
        <v>58500</v>
      </c>
      <c r="D13" s="865">
        <f>SUM('3.számú melléklet'!D18+'4.számú melléklet'!D13)</f>
        <v>64040</v>
      </c>
      <c r="E13" s="748">
        <f>SUM('3.számú melléklet'!E18+'4.számú melléklet'!E13)</f>
        <v>520053</v>
      </c>
      <c r="F13" s="748">
        <f>SUM('3.számú melléklet'!F18+'4.számú melléklet'!F13)</f>
        <v>584093</v>
      </c>
    </row>
    <row r="14" spans="1:6" s="61" customFormat="1" ht="12.75" customHeight="1">
      <c r="A14" s="753"/>
      <c r="B14" s="747" t="s">
        <v>639</v>
      </c>
      <c r="C14" s="744">
        <f>SUM('3.számú melléklet'!C19+'4.számú melléklet'!C15)</f>
        <v>0</v>
      </c>
      <c r="D14" s="744">
        <f>SUM('3.számú melléklet'!D19+'4.számú melléklet'!D15)</f>
        <v>0</v>
      </c>
      <c r="E14" s="744">
        <f>SUM('3.számú melléklet'!E19+'4.számú melléklet'!E15)</f>
        <v>520053</v>
      </c>
      <c r="F14" s="744">
        <f>SUM('3.számú melléklet'!F19+'4.számú melléklet'!F15)</f>
        <v>520053</v>
      </c>
    </row>
    <row r="15" spans="1:6" s="413" customFormat="1" ht="25.5">
      <c r="A15" s="478"/>
      <c r="B15" s="752" t="s">
        <v>467</v>
      </c>
      <c r="C15" s="433">
        <f>SUM('3.számú melléklet'!C20+'4.számú melléklet'!C16)</f>
        <v>380237</v>
      </c>
      <c r="D15" s="433">
        <f>SUM('3.számú melléklet'!D20+'4.számú melléklet'!D16)</f>
        <v>399803</v>
      </c>
      <c r="E15" s="433">
        <f>SUM('3.számú melléklet'!E20+'4.számú melléklet'!E16)</f>
        <v>-25756</v>
      </c>
      <c r="F15" s="433">
        <f>SUM('3.számú melléklet'!F20+'4.számú melléklet'!F16)</f>
        <v>374047</v>
      </c>
    </row>
    <row r="16" spans="1:6" s="1" customFormat="1" ht="12.75">
      <c r="A16" s="44" t="s">
        <v>96</v>
      </c>
      <c r="B16" s="38" t="s">
        <v>93</v>
      </c>
      <c r="C16" s="67">
        <f>SUM('3.számú melléklet'!C21+'4.számú melléklet'!C20)</f>
        <v>566495</v>
      </c>
      <c r="D16" s="67">
        <f>SUM('3.számú melléklet'!D21+'4.számú melléklet'!D20)</f>
        <v>569622</v>
      </c>
      <c r="E16" s="67">
        <f>SUM('3.számú melléklet'!E21+'4.számú melléklet'!E20)</f>
        <v>-6666</v>
      </c>
      <c r="F16" s="67">
        <f>SUM('3.számú melléklet'!F21+'4.számú melléklet'!F20)</f>
        <v>562956</v>
      </c>
    </row>
    <row r="17" spans="1:6" s="2" customFormat="1" ht="13.5">
      <c r="A17" s="109" t="s">
        <v>277</v>
      </c>
      <c r="B17" s="110" t="s">
        <v>379</v>
      </c>
      <c r="C17" s="69">
        <f>SUM(C9,C10,C11,C12,C16)</f>
        <v>13258119</v>
      </c>
      <c r="D17" s="69">
        <f>SUM(D9,D10,D11,D12,D16)</f>
        <v>17255588</v>
      </c>
      <c r="E17" s="69">
        <f>SUM(E9,E10,E11,E12,E16)</f>
        <v>-80854</v>
      </c>
      <c r="F17" s="69">
        <f>SUM(F9,F10,F11,F12,F16)</f>
        <v>17174734</v>
      </c>
    </row>
    <row r="18" spans="1:6" s="1" customFormat="1" ht="12.75">
      <c r="A18" s="41"/>
      <c r="B18" s="37" t="s">
        <v>214</v>
      </c>
      <c r="C18" s="66">
        <f>SUM('3.számú melléklet'!C23+'4.számú melléklet'!C22)</f>
        <v>11000</v>
      </c>
      <c r="D18" s="66">
        <f>SUM('3.számú melléklet'!D23+'4.számú melléklet'!D22)</f>
        <v>604068</v>
      </c>
      <c r="E18" s="66">
        <f>SUM('3.számú melléklet'!E23+'4.számú melléklet'!E22)</f>
        <v>26214</v>
      </c>
      <c r="F18" s="66">
        <f>SUM('3.számú melléklet'!F23+'4.számú melléklet'!F22)</f>
        <v>630282</v>
      </c>
    </row>
    <row r="19" spans="1:6" s="1" customFormat="1" ht="12.75" customHeight="1">
      <c r="A19" s="41"/>
      <c r="B19" s="37" t="s">
        <v>410</v>
      </c>
      <c r="C19" s="66">
        <f>SUM('4.számú melléklet'!C23)</f>
        <v>51500</v>
      </c>
      <c r="D19" s="66">
        <f>SUM('4.számú melléklet'!D23)</f>
        <v>71566</v>
      </c>
      <c r="E19" s="66">
        <f>SUM('4.számú melléklet'!E23)</f>
        <v>0</v>
      </c>
      <c r="F19" s="66">
        <f>SUM('4.számú melléklet'!F23)</f>
        <v>71566</v>
      </c>
    </row>
    <row r="20" spans="1:6" s="1" customFormat="1" ht="12.75">
      <c r="A20" s="41"/>
      <c r="B20" s="37" t="s">
        <v>215</v>
      </c>
      <c r="C20" s="66">
        <f>SUM('4.számú melléklet'!C24)</f>
        <v>0</v>
      </c>
      <c r="D20" s="66">
        <f>SUM('4.számú melléklet'!D24)</f>
        <v>0</v>
      </c>
      <c r="E20" s="66">
        <f>SUM('4.számú melléklet'!E24)</f>
        <v>349858</v>
      </c>
      <c r="F20" s="66">
        <f>SUM('4.számú melléklet'!F24)</f>
        <v>349858</v>
      </c>
    </row>
    <row r="21" spans="1:6" s="1" customFormat="1" ht="12.75">
      <c r="A21" s="41"/>
      <c r="B21" s="37" t="s">
        <v>216</v>
      </c>
      <c r="C21" s="66">
        <f>SUM('4.számú melléklet'!C25)</f>
        <v>10000</v>
      </c>
      <c r="D21" s="66">
        <f>SUM('4.számú melléklet'!D25)</f>
        <v>62317</v>
      </c>
      <c r="E21" s="66">
        <f>SUM('4.számú melléklet'!E25)</f>
        <v>176079</v>
      </c>
      <c r="F21" s="66">
        <f>SUM('4.számú melléklet'!F25)</f>
        <v>238396</v>
      </c>
    </row>
    <row r="22" spans="1:6" s="1" customFormat="1" ht="12.75">
      <c r="A22" s="44" t="s">
        <v>97</v>
      </c>
      <c r="B22" s="38" t="s">
        <v>499</v>
      </c>
      <c r="C22" s="67">
        <f>SUM(C18:C21)</f>
        <v>72500</v>
      </c>
      <c r="D22" s="67">
        <f>SUM(D18:D21)</f>
        <v>737951</v>
      </c>
      <c r="E22" s="67">
        <f>SUM(E18:E21)</f>
        <v>552151</v>
      </c>
      <c r="F22" s="67">
        <f>SUM(F18:F21)</f>
        <v>1290102</v>
      </c>
    </row>
    <row r="23" spans="1:6" s="1" customFormat="1" ht="12.75">
      <c r="A23" s="44" t="s">
        <v>98</v>
      </c>
      <c r="B23" s="38" t="s">
        <v>217</v>
      </c>
      <c r="C23" s="67">
        <f>SUM('3.számú melléklet'!C24+'4.számú melléklet'!C27)</f>
        <v>66672</v>
      </c>
      <c r="D23" s="67">
        <f>SUM('3.számú melléklet'!D24+'4.számú melléklet'!D27)</f>
        <v>147081</v>
      </c>
      <c r="E23" s="67">
        <f>SUM('3.számú melléklet'!E24+'4.számú melléklet'!E27)</f>
        <v>9651</v>
      </c>
      <c r="F23" s="67">
        <f>SUM('3.számú melléklet'!F24+'4.számú melléklet'!F27)</f>
        <v>156732</v>
      </c>
    </row>
    <row r="24" spans="1:6" s="1" customFormat="1" ht="12.75">
      <c r="A24" s="44" t="s">
        <v>99</v>
      </c>
      <c r="B24" s="38" t="s">
        <v>218</v>
      </c>
      <c r="C24" s="67">
        <f>SUM('4.számú melléklet'!C28)</f>
        <v>649669</v>
      </c>
      <c r="D24" s="67">
        <f>SUM('4.számú melléklet'!D28)</f>
        <v>2570658</v>
      </c>
      <c r="E24" s="67">
        <f>SUM('4.számú melléklet'!E28)</f>
        <v>175774</v>
      </c>
      <c r="F24" s="67">
        <f>SUM('4.számú melléklet'!F28)</f>
        <v>2746432</v>
      </c>
    </row>
    <row r="25" spans="1:6" s="1" customFormat="1" ht="12.75">
      <c r="A25" s="44" t="s">
        <v>100</v>
      </c>
      <c r="B25" s="38" t="s">
        <v>219</v>
      </c>
      <c r="C25" s="67">
        <f>SUM('4.számú melléklet'!C29)</f>
        <v>0</v>
      </c>
      <c r="D25" s="67">
        <f>SUM('4.számú melléklet'!D29)</f>
        <v>0</v>
      </c>
      <c r="E25" s="67">
        <f>SUM('4.számú melléklet'!E29)</f>
        <v>0</v>
      </c>
      <c r="F25" s="67">
        <f>SUM('4.számú melléklet'!F29)</f>
        <v>0</v>
      </c>
    </row>
    <row r="26" spans="1:6" s="176" customFormat="1" ht="25.5">
      <c r="A26" s="749" t="s">
        <v>101</v>
      </c>
      <c r="B26" s="750" t="s">
        <v>210</v>
      </c>
      <c r="C26" s="751">
        <f>SUM(C27:C29)-C28</f>
        <v>207732</v>
      </c>
      <c r="D26" s="751">
        <f>SUM(D27:D29)-D28</f>
        <v>2251215</v>
      </c>
      <c r="E26" s="751">
        <f>SUM(E27:E29)-E28</f>
        <v>178212</v>
      </c>
      <c r="F26" s="751">
        <f>SUM(F27:F29)-F28</f>
        <v>2429427</v>
      </c>
    </row>
    <row r="27" spans="1:6" ht="12.75">
      <c r="A27" s="107"/>
      <c r="B27" s="866" t="s">
        <v>468</v>
      </c>
      <c r="C27" s="748">
        <f>SUM('3.számú melléklet'!C27+'4.számú melléklet'!C30)</f>
        <v>91501</v>
      </c>
      <c r="D27" s="748">
        <f>SUM('3.számú melléklet'!D27+'4.számú melléklet'!D30)</f>
        <v>1600881</v>
      </c>
      <c r="E27" s="748">
        <f>SUM('3.számú melléklet'!E27+'4.számú melléklet'!E30)</f>
        <v>204630</v>
      </c>
      <c r="F27" s="748">
        <f>SUM('3.számú melléklet'!F27+'4.számú melléklet'!F30)</f>
        <v>1805511</v>
      </c>
    </row>
    <row r="28" spans="1:6" ht="12.75">
      <c r="A28" s="753"/>
      <c r="B28" s="758" t="s">
        <v>639</v>
      </c>
      <c r="C28" s="744">
        <f>SUM('3.számú melléklet'!C28+'4.számú melléklet'!C32)</f>
        <v>0</v>
      </c>
      <c r="D28" s="744">
        <f>SUM('3.számú melléklet'!D28+'4.számú melléklet'!D32)</f>
        <v>0</v>
      </c>
      <c r="E28" s="744">
        <f>SUM('3.számú melléklet'!E28+'4.számú melléklet'!E32)</f>
        <v>184630</v>
      </c>
      <c r="F28" s="744">
        <f>SUM('3.számú melléklet'!F28+'4.számú melléklet'!F32)</f>
        <v>184630</v>
      </c>
    </row>
    <row r="29" spans="1:6" s="413" customFormat="1" ht="25.5" customHeight="1">
      <c r="A29" s="478"/>
      <c r="B29" s="752" t="s">
        <v>469</v>
      </c>
      <c r="C29" s="433">
        <f>SUM('3.számú melléklet'!C29+'4.számú melléklet'!C34)</f>
        <v>116231</v>
      </c>
      <c r="D29" s="433">
        <f>SUM('3.számú melléklet'!D29+'4.számú melléklet'!D34)</f>
        <v>650334</v>
      </c>
      <c r="E29" s="433">
        <f>SUM('3.számú melléklet'!E29+'4.számú melléklet'!E34)</f>
        <v>-26418</v>
      </c>
      <c r="F29" s="433">
        <f>SUM('3.számú melléklet'!F29+'4.számú melléklet'!F34)</f>
        <v>623916</v>
      </c>
    </row>
    <row r="30" spans="1:6" s="397" customFormat="1" ht="24.75" customHeight="1">
      <c r="A30" s="112" t="s">
        <v>397</v>
      </c>
      <c r="B30" s="396" t="s">
        <v>412</v>
      </c>
      <c r="C30" s="24">
        <f>SUM(C22,C23,C24,C25,C26)</f>
        <v>996573</v>
      </c>
      <c r="D30" s="24">
        <f>SUM(D22,D23,D24,D25,D26)</f>
        <v>5706905</v>
      </c>
      <c r="E30" s="24">
        <f>SUM(E22,E23,E24,E25,E26)</f>
        <v>915788</v>
      </c>
      <c r="F30" s="24">
        <f>SUM(F22,F23,F24,F25,F26)</f>
        <v>6622693</v>
      </c>
    </row>
    <row r="31" spans="1:6" ht="12.75" customHeight="1">
      <c r="A31" s="41"/>
      <c r="B31" s="37" t="s">
        <v>194</v>
      </c>
      <c r="C31" s="184">
        <f>SUM('4.számú melléklet'!C42)</f>
        <v>145064</v>
      </c>
      <c r="D31" s="184">
        <f>SUM('4.számú melléklet'!D42)</f>
        <v>145064</v>
      </c>
      <c r="E31" s="184">
        <f>SUM('4.számú melléklet'!E42)</f>
        <v>0</v>
      </c>
      <c r="F31" s="184">
        <f>SUM('4.számú melléklet'!F42)</f>
        <v>145064</v>
      </c>
    </row>
    <row r="32" spans="1:6" ht="12.75" customHeight="1">
      <c r="A32" s="41"/>
      <c r="B32" s="37" t="s">
        <v>195</v>
      </c>
      <c r="C32" s="184">
        <f>SUM('4.számú melléklet'!C43)</f>
        <v>0</v>
      </c>
      <c r="D32" s="184">
        <f>SUM('4.számú melléklet'!D43)</f>
        <v>0</v>
      </c>
      <c r="E32" s="184">
        <f>SUM('4.számú melléklet'!E43)</f>
        <v>0</v>
      </c>
      <c r="F32" s="184">
        <f>SUM('4.számú melléklet'!F43)</f>
        <v>0</v>
      </c>
    </row>
    <row r="33" spans="1:6" s="2" customFormat="1" ht="13.5">
      <c r="A33" s="109" t="s">
        <v>408</v>
      </c>
      <c r="B33" s="110" t="s">
        <v>500</v>
      </c>
      <c r="C33" s="69">
        <f>SUM(C31:C32)</f>
        <v>145064</v>
      </c>
      <c r="D33" s="69">
        <f>SUM(D31:D32)</f>
        <v>145064</v>
      </c>
      <c r="E33" s="69">
        <f>SUM(E31:E32)</f>
        <v>0</v>
      </c>
      <c r="F33" s="69">
        <f>SUM(F31:F32)</f>
        <v>145064</v>
      </c>
    </row>
    <row r="34" spans="1:6" s="404" customFormat="1" ht="12.75">
      <c r="A34" s="56"/>
      <c r="B34" s="402" t="s">
        <v>339</v>
      </c>
      <c r="C34" s="403">
        <f>SUM('4.számú melléklet'!C45)</f>
        <v>498000</v>
      </c>
      <c r="D34" s="403">
        <f>SUM('4.számú melléklet'!D45)</f>
        <v>498000</v>
      </c>
      <c r="E34" s="403">
        <f>SUM('4.számú melléklet'!E45)</f>
        <v>0</v>
      </c>
      <c r="F34" s="403">
        <f>SUM('4.számú melléklet'!F45)</f>
        <v>498000</v>
      </c>
    </row>
    <row r="35" spans="1:6" s="404" customFormat="1" ht="12.75">
      <c r="A35" s="56"/>
      <c r="B35" s="297" t="s">
        <v>51</v>
      </c>
      <c r="C35" s="403">
        <f>SUM('4.számú melléklet'!C46)</f>
        <v>7332</v>
      </c>
      <c r="D35" s="403">
        <f>SUM('4.számú melléklet'!D46)</f>
        <v>7332</v>
      </c>
      <c r="E35" s="403">
        <f>SUM('4.számú melléklet'!E46)</f>
        <v>0</v>
      </c>
      <c r="F35" s="403">
        <f>SUM('4.számú melléklet'!F46)</f>
        <v>7332</v>
      </c>
    </row>
    <row r="36" spans="1:6" s="1" customFormat="1" ht="13.5" customHeight="1">
      <c r="A36" s="44" t="s">
        <v>291</v>
      </c>
      <c r="B36" s="466" t="s">
        <v>28</v>
      </c>
      <c r="C36" s="276">
        <f>SUM(C34:C35)</f>
        <v>505332</v>
      </c>
      <c r="D36" s="276">
        <f>SUM(D34:D35)</f>
        <v>505332</v>
      </c>
      <c r="E36" s="276">
        <f>SUM(E34:E35)</f>
        <v>0</v>
      </c>
      <c r="F36" s="276">
        <f>SUM(F34:F35)</f>
        <v>505332</v>
      </c>
    </row>
    <row r="37" spans="1:6" s="1" customFormat="1" ht="12.75">
      <c r="A37" s="44" t="s">
        <v>102</v>
      </c>
      <c r="B37" s="38" t="s">
        <v>114</v>
      </c>
      <c r="C37" s="276">
        <f>SUM('4.számú melléklet'!C48)</f>
        <v>628235</v>
      </c>
      <c r="D37" s="276">
        <f>SUM('4.számú melléklet'!D48)</f>
        <v>0</v>
      </c>
      <c r="E37" s="276">
        <f>SUM('4.számú melléklet'!E48)</f>
        <v>0</v>
      </c>
      <c r="F37" s="276">
        <f>SUM('4.számú melléklet'!F48)</f>
        <v>0</v>
      </c>
    </row>
    <row r="38" spans="1:6" s="1" customFormat="1" ht="12.75">
      <c r="A38" s="44" t="s">
        <v>103</v>
      </c>
      <c r="B38" s="378" t="s">
        <v>428</v>
      </c>
      <c r="C38" s="276">
        <f>SUM('4.számú melléklet'!C49)</f>
        <v>62000</v>
      </c>
      <c r="D38" s="276">
        <f>SUM('4.számú melléklet'!D49)</f>
        <v>24598</v>
      </c>
      <c r="E38" s="276">
        <f>SUM('4.számú melléklet'!E49)</f>
        <v>-13413</v>
      </c>
      <c r="F38" s="276">
        <f>SUM('4.számú melléklet'!F49)</f>
        <v>11185</v>
      </c>
    </row>
    <row r="39" spans="1:6" s="1" customFormat="1" ht="12.75">
      <c r="A39" s="44" t="s">
        <v>104</v>
      </c>
      <c r="B39" s="38" t="s">
        <v>529</v>
      </c>
      <c r="C39" s="276">
        <f>SUM('4.számú melléklet'!C50)</f>
        <v>763404</v>
      </c>
      <c r="D39" s="276">
        <f>SUM('4.számú melléklet'!D50)</f>
        <v>5843833</v>
      </c>
      <c r="E39" s="276">
        <f>SUM('4.számú melléklet'!E50)</f>
        <v>-520380</v>
      </c>
      <c r="F39" s="276">
        <f>SUM('4.számú melléklet'!F50)</f>
        <v>5323453</v>
      </c>
    </row>
    <row r="40" spans="1:6" s="2" customFormat="1" ht="13.5">
      <c r="A40" s="109" t="s">
        <v>515</v>
      </c>
      <c r="B40" s="110" t="s">
        <v>191</v>
      </c>
      <c r="C40" s="341">
        <f>SUM(C37:C39)</f>
        <v>1453639</v>
      </c>
      <c r="D40" s="341">
        <f>SUM(D37:D39)</f>
        <v>5868431</v>
      </c>
      <c r="E40" s="341">
        <f>SUM(E37:E39)</f>
        <v>-533793</v>
      </c>
      <c r="F40" s="341">
        <f>SUM(F37:F39)</f>
        <v>5334638</v>
      </c>
    </row>
    <row r="41" spans="1:6" s="111" customFormat="1" ht="13.5">
      <c r="A41" s="109"/>
      <c r="B41" s="110" t="s">
        <v>1</v>
      </c>
      <c r="C41" s="341">
        <f>SUM(C17,C30,C33,C36,C40)</f>
        <v>16358727</v>
      </c>
      <c r="D41" s="341">
        <f>SUM(D17,D30,D33,D36,D40)</f>
        <v>29481320</v>
      </c>
      <c r="E41" s="341">
        <f>SUM(E17,E30,E33,E36,E40)</f>
        <v>301141</v>
      </c>
      <c r="F41" s="341">
        <f>SUM(F17,F30,F33,F36,F40)</f>
        <v>29782461</v>
      </c>
    </row>
    <row r="42" spans="1:6" s="342" customFormat="1" ht="12.75">
      <c r="A42" s="345" t="s">
        <v>152</v>
      </c>
      <c r="B42" s="346" t="s">
        <v>78</v>
      </c>
      <c r="C42" s="347">
        <f>SUM('4.számú melléklet'!C52)</f>
        <v>7528303</v>
      </c>
      <c r="D42" s="347">
        <f>SUM('4.számú melléklet'!D52)</f>
        <v>8322090</v>
      </c>
      <c r="E42" s="347">
        <f>SUM('4.számú melléklet'!E52)</f>
        <v>50956</v>
      </c>
      <c r="F42" s="347">
        <f>SUM('4.számú melléklet'!F52)</f>
        <v>8373046</v>
      </c>
    </row>
    <row r="43" spans="1:6" s="176" customFormat="1" ht="25.5">
      <c r="A43" s="55" t="s">
        <v>153</v>
      </c>
      <c r="B43" s="398" t="s">
        <v>415</v>
      </c>
      <c r="C43" s="399">
        <f>SUM('3.számú melléklet'!C48)*-1</f>
        <v>-7528303</v>
      </c>
      <c r="D43" s="399">
        <f>SUM('3.számú melléklet'!D48)*-1</f>
        <v>-8322090</v>
      </c>
      <c r="E43" s="399">
        <f>SUM('3.számú melléklet'!E48)*-1</f>
        <v>-50956</v>
      </c>
      <c r="F43" s="399">
        <f>SUM('3.számú melléklet'!F48)*-1</f>
        <v>-8373046</v>
      </c>
    </row>
    <row r="44" spans="1:6" s="111" customFormat="1" ht="15" customHeight="1">
      <c r="A44" s="109"/>
      <c r="B44" s="110" t="s">
        <v>305</v>
      </c>
      <c r="C44" s="141">
        <f>SUM(C41,C42:C43)</f>
        <v>16358727</v>
      </c>
      <c r="D44" s="141">
        <f>SUM(D41,D42:D43)</f>
        <v>29481320</v>
      </c>
      <c r="E44" s="141">
        <f>SUM(E41,E42:E43)</f>
        <v>301141</v>
      </c>
      <c r="F44" s="141">
        <f>SUM(F41,F42:F43)</f>
        <v>29782461</v>
      </c>
    </row>
    <row r="45" spans="1:6" s="279" customFormat="1" ht="12.75" customHeight="1">
      <c r="A45" s="165"/>
      <c r="B45" s="278" t="s">
        <v>75</v>
      </c>
      <c r="C45" s="510"/>
      <c r="D45" s="510"/>
      <c r="E45" s="510"/>
      <c r="F45" s="510"/>
    </row>
    <row r="46" spans="1:6" s="111" customFormat="1" ht="13.5" customHeight="1">
      <c r="A46" s="109"/>
      <c r="B46" s="110" t="s">
        <v>89</v>
      </c>
      <c r="C46" s="24">
        <f>SUM(C44:C45)</f>
        <v>16358727</v>
      </c>
      <c r="D46" s="24">
        <f>SUM(D44:D45)</f>
        <v>29481320</v>
      </c>
      <c r="E46" s="24">
        <f>SUM(E44:E45)</f>
        <v>301141</v>
      </c>
      <c r="F46" s="24">
        <f>SUM(F44:F45)</f>
        <v>29782461</v>
      </c>
    </row>
    <row r="47" spans="1:6" s="62" customFormat="1" ht="12.75">
      <c r="A47" s="51"/>
      <c r="B47" s="46"/>
      <c r="C47" s="51"/>
      <c r="D47" s="51"/>
      <c r="E47" s="547"/>
      <c r="F47" s="126"/>
    </row>
    <row r="48" spans="1:6" s="52" customFormat="1" ht="12.75">
      <c r="A48" s="51"/>
      <c r="B48" s="46"/>
      <c r="C48" s="51"/>
      <c r="D48" s="51"/>
      <c r="E48" s="547"/>
      <c r="F48" s="126"/>
    </row>
    <row r="49" spans="1:6" ht="12.75">
      <c r="A49" s="45"/>
      <c r="B49" s="46"/>
      <c r="C49" s="32"/>
      <c r="D49" s="32"/>
      <c r="E49" s="549"/>
      <c r="F49" s="127"/>
    </row>
    <row r="50" spans="1:6" ht="12.75" customHeight="1">
      <c r="A50" s="45"/>
      <c r="B50" s="46"/>
      <c r="C50" s="32"/>
      <c r="D50" s="32"/>
      <c r="E50" s="549"/>
      <c r="F50" s="127"/>
    </row>
    <row r="51" spans="1:6" ht="12.75" customHeight="1">
      <c r="A51" s="45"/>
      <c r="B51" s="46"/>
      <c r="C51" s="32"/>
      <c r="D51" s="32"/>
      <c r="E51" s="549"/>
      <c r="F51" s="127"/>
    </row>
    <row r="52" spans="1:6" s="1" customFormat="1" ht="12.75">
      <c r="A52" s="47"/>
      <c r="B52" s="48"/>
      <c r="C52" s="49"/>
      <c r="D52" s="49"/>
      <c r="E52" s="549"/>
      <c r="F52" s="128"/>
    </row>
    <row r="53" spans="1:6" ht="12.75">
      <c r="A53" s="45"/>
      <c r="B53" s="46"/>
      <c r="C53" s="32"/>
      <c r="D53" s="32"/>
      <c r="E53" s="549"/>
      <c r="F53" s="127"/>
    </row>
    <row r="54" spans="1:6" ht="12.75">
      <c r="A54" s="45"/>
      <c r="B54" s="46"/>
      <c r="C54" s="32"/>
      <c r="D54" s="32"/>
      <c r="E54" s="549"/>
      <c r="F54" s="127"/>
    </row>
    <row r="55" spans="1:6" s="1" customFormat="1" ht="12.75">
      <c r="A55" s="47"/>
      <c r="B55" s="48"/>
      <c r="C55" s="49"/>
      <c r="D55" s="49"/>
      <c r="E55" s="549"/>
      <c r="F55" s="128"/>
    </row>
    <row r="56" spans="1:6" s="1" customFormat="1" ht="12.75">
      <c r="A56" s="47"/>
      <c r="B56" s="48"/>
      <c r="C56" s="49"/>
      <c r="D56" s="49"/>
      <c r="E56" s="549"/>
      <c r="F56" s="128"/>
    </row>
    <row r="57" spans="1:6" s="1" customFormat="1" ht="12.75">
      <c r="A57" s="47"/>
      <c r="B57" s="48"/>
      <c r="C57" s="49"/>
      <c r="D57" s="49"/>
      <c r="E57" s="549"/>
      <c r="F57" s="128"/>
    </row>
  </sheetData>
  <mergeCells count="2"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CE,Normál"2.számú melléklet
</oddHeader>
    <oddFooter>&amp;L&amp;"Times New Roman CE,Normál"&amp;8&amp;F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B9" sqref="B9:M9"/>
    </sheetView>
  </sheetViews>
  <sheetFormatPr defaultColWidth="9.140625" defaultRowHeight="12.75"/>
  <cols>
    <col min="1" max="1" width="37.421875" style="26" customWidth="1"/>
    <col min="2" max="2" width="10.00390625" style="26" customWidth="1"/>
    <col min="3" max="3" width="7.8515625" style="26" customWidth="1"/>
    <col min="4" max="4" width="9.421875" style="26" bestFit="1" customWidth="1"/>
    <col min="5" max="5" width="10.421875" style="26" customWidth="1"/>
    <col min="6" max="6" width="7.7109375" style="26" customWidth="1"/>
    <col min="7" max="7" width="9.421875" style="26" bestFit="1" customWidth="1"/>
    <col min="8" max="8" width="9.8515625" style="26" customWidth="1"/>
    <col min="9" max="9" width="7.57421875" style="26" customWidth="1"/>
    <col min="10" max="10" width="9.421875" style="26" bestFit="1" customWidth="1"/>
    <col min="11" max="11" width="9.8515625" style="26" customWidth="1"/>
    <col min="12" max="12" width="7.851562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17</v>
      </c>
      <c r="C4" s="168"/>
      <c r="D4" s="119"/>
      <c r="E4" s="894">
        <v>18</v>
      </c>
      <c r="F4" s="168"/>
      <c r="G4" s="119"/>
      <c r="H4" s="894">
        <v>19</v>
      </c>
      <c r="I4" s="168"/>
      <c r="J4" s="119"/>
      <c r="K4" s="894">
        <v>20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699</v>
      </c>
      <c r="C6" s="168"/>
      <c r="D6" s="119"/>
      <c r="E6" s="894" t="s">
        <v>700</v>
      </c>
      <c r="F6" s="168"/>
      <c r="G6" s="119"/>
      <c r="H6" s="894" t="s">
        <v>701</v>
      </c>
      <c r="I6" s="168"/>
      <c r="J6" s="119"/>
      <c r="K6" s="894" t="s">
        <v>702</v>
      </c>
      <c r="L6" s="168"/>
      <c r="M6" s="119"/>
    </row>
    <row r="7" spans="1:13" ht="12.75">
      <c r="A7" s="892" t="s">
        <v>145</v>
      </c>
      <c r="B7" s="894">
        <v>801115</v>
      </c>
      <c r="C7" s="168"/>
      <c r="D7" s="119"/>
      <c r="E7" s="894">
        <v>801115</v>
      </c>
      <c r="F7" s="168"/>
      <c r="G7" s="119"/>
      <c r="H7" s="894">
        <v>801115</v>
      </c>
      <c r="I7" s="168"/>
      <c r="J7" s="119"/>
      <c r="K7" s="894">
        <v>801115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38</v>
      </c>
      <c r="C11" s="901"/>
      <c r="D11" s="901">
        <f>+B11+C11</f>
        <v>38</v>
      </c>
      <c r="E11" s="901">
        <v>22.5</v>
      </c>
      <c r="F11" s="901"/>
      <c r="G11" s="901">
        <f>+E11+F11</f>
        <v>22.5</v>
      </c>
      <c r="H11" s="901">
        <v>16.5</v>
      </c>
      <c r="I11" s="901"/>
      <c r="J11" s="901">
        <f>+H11+I11</f>
        <v>16.5</v>
      </c>
      <c r="K11" s="901">
        <v>43.5</v>
      </c>
      <c r="L11" s="901"/>
      <c r="M11" s="901">
        <f>+K11+L11</f>
        <v>43.5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79965+4739</f>
        <v>84704</v>
      </c>
      <c r="C13" s="412">
        <v>0</v>
      </c>
      <c r="D13" s="412">
        <f>+B13+C13</f>
        <v>84704</v>
      </c>
      <c r="E13" s="412">
        <f>45055+3666</f>
        <v>48721</v>
      </c>
      <c r="F13" s="412">
        <v>0</v>
      </c>
      <c r="G13" s="412">
        <f>+E13+F13</f>
        <v>48721</v>
      </c>
      <c r="H13" s="412">
        <f>35418+2133</f>
        <v>37551</v>
      </c>
      <c r="I13" s="412">
        <v>0</v>
      </c>
      <c r="J13" s="412">
        <f>+H13+I13</f>
        <v>37551</v>
      </c>
      <c r="K13" s="412">
        <f>88368+3930</f>
        <v>92298</v>
      </c>
      <c r="L13" s="412">
        <v>0</v>
      </c>
      <c r="M13" s="412">
        <f>+K13+L13</f>
        <v>92298</v>
      </c>
    </row>
    <row r="14" spans="1:13" s="388" customFormat="1" ht="12.75">
      <c r="A14" s="629" t="s">
        <v>519</v>
      </c>
      <c r="B14" s="412">
        <f>25868+1428</f>
        <v>27296</v>
      </c>
      <c r="C14" s="412">
        <v>0</v>
      </c>
      <c r="D14" s="412">
        <f>+B14+C14</f>
        <v>27296</v>
      </c>
      <c r="E14" s="412">
        <f>14582+1118</f>
        <v>15700</v>
      </c>
      <c r="F14" s="412">
        <v>0</v>
      </c>
      <c r="G14" s="412">
        <f>+E14+F14</f>
        <v>15700</v>
      </c>
      <c r="H14" s="412">
        <f>11395+640</f>
        <v>12035</v>
      </c>
      <c r="I14" s="412">
        <v>0</v>
      </c>
      <c r="J14" s="412">
        <f>+H14+I14</f>
        <v>12035</v>
      </c>
      <c r="K14" s="412">
        <f>28517+1103</f>
        <v>29620</v>
      </c>
      <c r="L14" s="412">
        <v>0</v>
      </c>
      <c r="M14" s="412">
        <f>+K14+L14</f>
        <v>29620</v>
      </c>
    </row>
    <row r="15" spans="1:13" s="388" customFormat="1" ht="12.75">
      <c r="A15" s="629" t="s">
        <v>520</v>
      </c>
      <c r="B15" s="412">
        <f>28173+1680</f>
        <v>29853</v>
      </c>
      <c r="C15" s="412">
        <v>104</v>
      </c>
      <c r="D15" s="412">
        <f>+B15+C15</f>
        <v>29957</v>
      </c>
      <c r="E15" s="412">
        <f>20165+937</f>
        <v>21102</v>
      </c>
      <c r="F15" s="412">
        <v>75</v>
      </c>
      <c r="G15" s="412">
        <f>+E15+F15</f>
        <v>21177</v>
      </c>
      <c r="H15" s="412">
        <f>16515+954</f>
        <v>17469</v>
      </c>
      <c r="I15" s="412">
        <v>114</v>
      </c>
      <c r="J15" s="412">
        <f>+H15+I15</f>
        <v>17583</v>
      </c>
      <c r="K15" s="412">
        <f>41940+2070</f>
        <v>44010</v>
      </c>
      <c r="L15" s="412">
        <v>338</v>
      </c>
      <c r="M15" s="412">
        <f>+K15+L15</f>
        <v>44348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f>+C16+D16</f>
        <v>0</v>
      </c>
      <c r="F16" s="412">
        <f>+D16+E16</f>
        <v>0</v>
      </c>
      <c r="G16" s="412">
        <f>+E16+F16</f>
        <v>0</v>
      </c>
      <c r="H16" s="412">
        <f>+F16+G16</f>
        <v>0</v>
      </c>
      <c r="I16" s="412">
        <f>+G16+H16</f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f>+C17+D17</f>
        <v>0</v>
      </c>
      <c r="F17" s="412">
        <f>+D17+E17</f>
        <v>0</v>
      </c>
      <c r="G17" s="412">
        <f>+E17+F17</f>
        <v>0</v>
      </c>
      <c r="H17" s="412">
        <f>+F17+G17</f>
        <v>0</v>
      </c>
      <c r="I17" s="412">
        <f>+G17+H17</f>
        <v>0</v>
      </c>
      <c r="J17" s="412">
        <f>+H17+I17</f>
        <v>0</v>
      </c>
      <c r="K17" s="412">
        <v>0</v>
      </c>
      <c r="L17" s="412"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141853</v>
      </c>
      <c r="C18" s="399">
        <f t="shared" si="0"/>
        <v>104</v>
      </c>
      <c r="D18" s="399">
        <f t="shared" si="0"/>
        <v>141957</v>
      </c>
      <c r="E18" s="399">
        <f t="shared" si="0"/>
        <v>85523</v>
      </c>
      <c r="F18" s="399">
        <f t="shared" si="0"/>
        <v>75</v>
      </c>
      <c r="G18" s="399">
        <f t="shared" si="0"/>
        <v>85598</v>
      </c>
      <c r="H18" s="399">
        <f t="shared" si="0"/>
        <v>67055</v>
      </c>
      <c r="I18" s="399">
        <f t="shared" si="0"/>
        <v>114</v>
      </c>
      <c r="J18" s="399">
        <f t="shared" si="0"/>
        <v>67169</v>
      </c>
      <c r="K18" s="399">
        <f t="shared" si="0"/>
        <v>165928</v>
      </c>
      <c r="L18" s="399">
        <f t="shared" si="0"/>
        <v>338</v>
      </c>
      <c r="M18" s="399">
        <f t="shared" si="0"/>
        <v>166266</v>
      </c>
    </row>
    <row r="19" spans="1:13" s="388" customFormat="1" ht="12.75">
      <c r="A19" s="629" t="s">
        <v>171</v>
      </c>
      <c r="B19" s="412">
        <v>0</v>
      </c>
      <c r="C19" s="412">
        <v>0</v>
      </c>
      <c r="D19" s="412">
        <f>+B19+C19</f>
        <v>0</v>
      </c>
      <c r="E19" s="412">
        <v>19200</v>
      </c>
      <c r="F19" s="412">
        <v>-1563</v>
      </c>
      <c r="G19" s="412">
        <f>+E19+F19</f>
        <v>17637</v>
      </c>
      <c r="H19" s="412">
        <v>0</v>
      </c>
      <c r="I19" s="412">
        <v>0</v>
      </c>
      <c r="J19" s="412">
        <f>+H19+I19</f>
        <v>0</v>
      </c>
      <c r="K19" s="412">
        <v>25200</v>
      </c>
      <c r="L19" s="412">
        <v>-4991</v>
      </c>
      <c r="M19" s="412">
        <f>+K19+L19</f>
        <v>20209</v>
      </c>
    </row>
    <row r="20" spans="1:13" s="388" customFormat="1" ht="12.75">
      <c r="A20" s="629" t="s">
        <v>172</v>
      </c>
      <c r="B20" s="412">
        <v>3</v>
      </c>
      <c r="C20" s="412">
        <v>0</v>
      </c>
      <c r="D20" s="412">
        <f>+B20+C20</f>
        <v>3</v>
      </c>
      <c r="E20" s="412">
        <v>3</v>
      </c>
      <c r="F20" s="412">
        <v>0</v>
      </c>
      <c r="G20" s="412">
        <f>+E20+F20</f>
        <v>3</v>
      </c>
      <c r="H20" s="412">
        <v>6</v>
      </c>
      <c r="I20" s="412">
        <v>0</v>
      </c>
      <c r="J20" s="412">
        <f>+H20+I20</f>
        <v>6</v>
      </c>
      <c r="K20" s="412">
        <v>3</v>
      </c>
      <c r="L20" s="412">
        <v>0</v>
      </c>
      <c r="M20" s="412">
        <f>+K20+L20</f>
        <v>3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f>+C21+D21</f>
        <v>0</v>
      </c>
      <c r="F21" s="412">
        <f>+D21+E21</f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3</v>
      </c>
      <c r="C22" s="399">
        <f t="shared" si="1"/>
        <v>0</v>
      </c>
      <c r="D22" s="399">
        <f t="shared" si="1"/>
        <v>3</v>
      </c>
      <c r="E22" s="399">
        <f t="shared" si="1"/>
        <v>19203</v>
      </c>
      <c r="F22" s="399">
        <f t="shared" si="1"/>
        <v>-1563</v>
      </c>
      <c r="G22" s="399">
        <f t="shared" si="1"/>
        <v>17640</v>
      </c>
      <c r="H22" s="399">
        <f t="shared" si="1"/>
        <v>6</v>
      </c>
      <c r="I22" s="399">
        <f t="shared" si="1"/>
        <v>0</v>
      </c>
      <c r="J22" s="399">
        <f t="shared" si="1"/>
        <v>6</v>
      </c>
      <c r="K22" s="399">
        <f t="shared" si="1"/>
        <v>25203</v>
      </c>
      <c r="L22" s="399">
        <f t="shared" si="1"/>
        <v>-4991</v>
      </c>
      <c r="M22" s="399">
        <f t="shared" si="1"/>
        <v>20212</v>
      </c>
    </row>
    <row r="23" spans="1:13" s="902" customFormat="1" ht="12.75">
      <c r="A23" s="903" t="s">
        <v>86</v>
      </c>
      <c r="B23" s="399">
        <f aca="true" t="shared" si="2" ref="B23:M23">SUM(B18+B22)</f>
        <v>141856</v>
      </c>
      <c r="C23" s="399">
        <f t="shared" si="2"/>
        <v>104</v>
      </c>
      <c r="D23" s="399">
        <f t="shared" si="2"/>
        <v>141960</v>
      </c>
      <c r="E23" s="399">
        <f t="shared" si="2"/>
        <v>104726</v>
      </c>
      <c r="F23" s="399">
        <f t="shared" si="2"/>
        <v>-1488</v>
      </c>
      <c r="G23" s="399">
        <f t="shared" si="2"/>
        <v>103238</v>
      </c>
      <c r="H23" s="399">
        <f t="shared" si="2"/>
        <v>67061</v>
      </c>
      <c r="I23" s="399">
        <f t="shared" si="2"/>
        <v>114</v>
      </c>
      <c r="J23" s="399">
        <f t="shared" si="2"/>
        <v>67175</v>
      </c>
      <c r="K23" s="399">
        <f t="shared" si="2"/>
        <v>191131</v>
      </c>
      <c r="L23" s="399">
        <f t="shared" si="2"/>
        <v>-4653</v>
      </c>
      <c r="M23" s="399">
        <f t="shared" si="2"/>
        <v>186478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2.75">
      <c r="A25" s="438" t="s">
        <v>491</v>
      </c>
      <c r="B25" s="412">
        <v>0</v>
      </c>
      <c r="C25" s="412">
        <v>0</v>
      </c>
      <c r="D25" s="412">
        <f>+B25+C25</f>
        <v>0</v>
      </c>
      <c r="E25" s="412">
        <f>+C25+D25</f>
        <v>0</v>
      </c>
      <c r="F25" s="412">
        <f>+D25+E25</f>
        <v>0</v>
      </c>
      <c r="G25" s="412">
        <f>+E25+F25</f>
        <v>0</v>
      </c>
      <c r="H25" s="412">
        <v>0</v>
      </c>
      <c r="I25" s="412">
        <v>0</v>
      </c>
      <c r="J25" s="412">
        <f aca="true" t="shared" si="3" ref="J25:J33">+H25+I25</f>
        <v>0</v>
      </c>
      <c r="K25" s="412">
        <v>0</v>
      </c>
      <c r="L25" s="412">
        <v>0</v>
      </c>
      <c r="M25" s="412">
        <f aca="true" t="shared" si="4" ref="M25:M33">+K25+L25</f>
        <v>0</v>
      </c>
    </row>
    <row r="26" spans="1:13" s="388" customFormat="1" ht="24" customHeight="1">
      <c r="A26" s="438" t="s">
        <v>492</v>
      </c>
      <c r="B26" s="412">
        <v>7162</v>
      </c>
      <c r="C26" s="412">
        <v>0</v>
      </c>
      <c r="D26" s="412">
        <f aca="true" t="shared" si="5" ref="D26:D33">+B26+C26</f>
        <v>7162</v>
      </c>
      <c r="E26" s="412">
        <v>4959</v>
      </c>
      <c r="F26" s="412">
        <v>0</v>
      </c>
      <c r="G26" s="412">
        <f aca="true" t="shared" si="6" ref="G26:G33">+E26+F26</f>
        <v>4959</v>
      </c>
      <c r="H26" s="412">
        <v>3732</v>
      </c>
      <c r="I26" s="412">
        <v>0</v>
      </c>
      <c r="J26" s="412">
        <f t="shared" si="3"/>
        <v>3732</v>
      </c>
      <c r="K26" s="412">
        <v>10115</v>
      </c>
      <c r="L26" s="412">
        <v>0</v>
      </c>
      <c r="M26" s="412">
        <f t="shared" si="4"/>
        <v>10115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5"/>
        <v>0</v>
      </c>
      <c r="E27" s="412">
        <f>+C27+D27</f>
        <v>0</v>
      </c>
      <c r="F27" s="412">
        <f>+D27+E27</f>
        <v>0</v>
      </c>
      <c r="G27" s="412">
        <f t="shared" si="6"/>
        <v>0</v>
      </c>
      <c r="H27" s="412">
        <v>0</v>
      </c>
      <c r="I27" s="412">
        <v>0</v>
      </c>
      <c r="J27" s="412">
        <f t="shared" si="3"/>
        <v>0</v>
      </c>
      <c r="K27" s="412">
        <v>0</v>
      </c>
      <c r="L27" s="412">
        <v>0</v>
      </c>
      <c r="M27" s="412">
        <f t="shared" si="4"/>
        <v>0</v>
      </c>
    </row>
    <row r="28" spans="1:13" s="388" customFormat="1" ht="12.75">
      <c r="A28" s="629" t="s">
        <v>164</v>
      </c>
      <c r="B28" s="412">
        <v>1074</v>
      </c>
      <c r="C28" s="412">
        <v>0</v>
      </c>
      <c r="D28" s="412">
        <f t="shared" si="5"/>
        <v>1074</v>
      </c>
      <c r="E28" s="412">
        <v>744</v>
      </c>
      <c r="F28" s="412">
        <v>0</v>
      </c>
      <c r="G28" s="412">
        <f t="shared" si="6"/>
        <v>744</v>
      </c>
      <c r="H28" s="412">
        <v>532</v>
      </c>
      <c r="I28" s="412">
        <v>0</v>
      </c>
      <c r="J28" s="412">
        <f t="shared" si="3"/>
        <v>532</v>
      </c>
      <c r="K28" s="412">
        <v>1518</v>
      </c>
      <c r="L28" s="412">
        <v>0</v>
      </c>
      <c r="M28" s="412">
        <f t="shared" si="4"/>
        <v>1518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5"/>
        <v>0</v>
      </c>
      <c r="E29" s="412">
        <f>+C29+D29</f>
        <v>0</v>
      </c>
      <c r="F29" s="412">
        <f>+D29+E29</f>
        <v>0</v>
      </c>
      <c r="G29" s="412">
        <f t="shared" si="6"/>
        <v>0</v>
      </c>
      <c r="H29" s="412">
        <v>0</v>
      </c>
      <c r="I29" s="412">
        <v>0</v>
      </c>
      <c r="J29" s="412">
        <f t="shared" si="3"/>
        <v>0</v>
      </c>
      <c r="K29" s="412">
        <v>0</v>
      </c>
      <c r="L29" s="412">
        <v>0</v>
      </c>
      <c r="M29" s="412">
        <f t="shared" si="4"/>
        <v>0</v>
      </c>
    </row>
    <row r="30" spans="1:13" s="388" customFormat="1" ht="22.5">
      <c r="A30" s="907" t="s">
        <v>165</v>
      </c>
      <c r="B30" s="412">
        <v>0</v>
      </c>
      <c r="C30" s="412">
        <v>0</v>
      </c>
      <c r="D30" s="412">
        <f t="shared" si="5"/>
        <v>0</v>
      </c>
      <c r="E30" s="412">
        <v>80</v>
      </c>
      <c r="F30" s="412">
        <v>0</v>
      </c>
      <c r="G30" s="412">
        <f t="shared" si="6"/>
        <v>80</v>
      </c>
      <c r="H30" s="412">
        <v>100</v>
      </c>
      <c r="I30" s="412">
        <v>0</v>
      </c>
      <c r="J30" s="412">
        <f t="shared" si="3"/>
        <v>100</v>
      </c>
      <c r="K30" s="412">
        <v>255</v>
      </c>
      <c r="L30" s="412">
        <v>0</v>
      </c>
      <c r="M30" s="412">
        <f t="shared" si="4"/>
        <v>255</v>
      </c>
    </row>
    <row r="31" spans="1:13" s="388" customFormat="1" ht="22.5">
      <c r="A31" s="908" t="s">
        <v>166</v>
      </c>
      <c r="B31" s="412">
        <v>0</v>
      </c>
      <c r="C31" s="412">
        <v>0</v>
      </c>
      <c r="D31" s="412">
        <f t="shared" si="5"/>
        <v>0</v>
      </c>
      <c r="E31" s="412">
        <f>+C31+D31</f>
        <v>0</v>
      </c>
      <c r="F31" s="412">
        <f>+D31+E31</f>
        <v>0</v>
      </c>
      <c r="G31" s="412">
        <f t="shared" si="6"/>
        <v>0</v>
      </c>
      <c r="H31" s="412">
        <v>0</v>
      </c>
      <c r="I31" s="412">
        <v>0</v>
      </c>
      <c r="J31" s="412">
        <f t="shared" si="3"/>
        <v>0</v>
      </c>
      <c r="K31" s="412">
        <v>0</v>
      </c>
      <c r="L31" s="412">
        <v>0</v>
      </c>
      <c r="M31" s="412">
        <f t="shared" si="4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5"/>
        <v>0</v>
      </c>
      <c r="E32" s="412">
        <f>+C32+D32</f>
        <v>0</v>
      </c>
      <c r="F32" s="412">
        <f>+D32+E32</f>
        <v>0</v>
      </c>
      <c r="G32" s="412">
        <f t="shared" si="6"/>
        <v>0</v>
      </c>
      <c r="H32" s="412">
        <v>0</v>
      </c>
      <c r="I32" s="412">
        <v>0</v>
      </c>
      <c r="J32" s="412">
        <f t="shared" si="3"/>
        <v>0</v>
      </c>
      <c r="K32" s="412">
        <v>0</v>
      </c>
      <c r="L32" s="412">
        <v>0</v>
      </c>
      <c r="M32" s="412">
        <f t="shared" si="4"/>
        <v>0</v>
      </c>
    </row>
    <row r="33" spans="1:13" s="388" customFormat="1" ht="12.75">
      <c r="A33" s="629" t="s">
        <v>168</v>
      </c>
      <c r="B33" s="412">
        <v>5828</v>
      </c>
      <c r="C33" s="412">
        <v>0</v>
      </c>
      <c r="D33" s="412">
        <f t="shared" si="5"/>
        <v>5828</v>
      </c>
      <c r="E33" s="412">
        <v>4398</v>
      </c>
      <c r="F33" s="412">
        <v>0</v>
      </c>
      <c r="G33" s="412">
        <f t="shared" si="6"/>
        <v>4398</v>
      </c>
      <c r="H33" s="412">
        <v>2713</v>
      </c>
      <c r="I33" s="412">
        <v>0</v>
      </c>
      <c r="J33" s="412">
        <f t="shared" si="3"/>
        <v>2713</v>
      </c>
      <c r="K33" s="412">
        <v>4459</v>
      </c>
      <c r="L33" s="412">
        <v>0</v>
      </c>
      <c r="M33" s="412">
        <f t="shared" si="4"/>
        <v>4459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127792</v>
      </c>
      <c r="C34" s="412">
        <f t="shared" si="7"/>
        <v>104</v>
      </c>
      <c r="D34" s="412">
        <f t="shared" si="7"/>
        <v>127896</v>
      </c>
      <c r="E34" s="412">
        <f t="shared" si="7"/>
        <v>94545</v>
      </c>
      <c r="F34" s="412">
        <f t="shared" si="7"/>
        <v>-1488</v>
      </c>
      <c r="G34" s="412">
        <f t="shared" si="7"/>
        <v>93057</v>
      </c>
      <c r="H34" s="412">
        <f t="shared" si="7"/>
        <v>59984</v>
      </c>
      <c r="I34" s="412">
        <f t="shared" si="7"/>
        <v>114</v>
      </c>
      <c r="J34" s="412">
        <f t="shared" si="7"/>
        <v>60098</v>
      </c>
      <c r="K34" s="412">
        <f t="shared" si="7"/>
        <v>174784</v>
      </c>
      <c r="L34" s="412">
        <f t="shared" si="7"/>
        <v>-4653</v>
      </c>
      <c r="M34" s="412">
        <f t="shared" si="7"/>
        <v>170131</v>
      </c>
    </row>
    <row r="35" spans="1:13" ht="12.75">
      <c r="A35" s="909" t="s">
        <v>211</v>
      </c>
      <c r="B35" s="66">
        <v>43257</v>
      </c>
      <c r="C35" s="66">
        <f>43130-B35+C36</f>
        <v>95</v>
      </c>
      <c r="D35" s="66">
        <f>+B35+C35</f>
        <v>43352</v>
      </c>
      <c r="E35" s="66">
        <v>29058</v>
      </c>
      <c r="F35" s="66">
        <f>28965-E35+F36</f>
        <v>47</v>
      </c>
      <c r="G35" s="66">
        <f>+E35+F35</f>
        <v>29105</v>
      </c>
      <c r="H35" s="66">
        <v>20821</v>
      </c>
      <c r="I35" s="66">
        <f>20752-H35+I36</f>
        <v>25</v>
      </c>
      <c r="J35" s="66">
        <f>+H35+I35</f>
        <v>20846</v>
      </c>
      <c r="K35" s="66">
        <v>55953</v>
      </c>
      <c r="L35" s="66">
        <f>55776-K35+L36</f>
        <v>80</v>
      </c>
      <c r="M35" s="66">
        <f>+K35+L35</f>
        <v>56033</v>
      </c>
    </row>
    <row r="36" spans="1:13" ht="22.5">
      <c r="A36" s="905" t="s">
        <v>686</v>
      </c>
      <c r="B36" s="66"/>
      <c r="C36" s="66">
        <v>222</v>
      </c>
      <c r="D36" s="66">
        <f>+B36+C36</f>
        <v>222</v>
      </c>
      <c r="E36" s="66"/>
      <c r="F36" s="66">
        <v>140</v>
      </c>
      <c r="G36" s="66">
        <f>+E36+F36</f>
        <v>140</v>
      </c>
      <c r="H36" s="66"/>
      <c r="I36" s="66">
        <v>94</v>
      </c>
      <c r="J36" s="66">
        <f>+H36+I36</f>
        <v>94</v>
      </c>
      <c r="K36" s="66"/>
      <c r="L36" s="66">
        <v>257</v>
      </c>
      <c r="M36" s="66">
        <f>+K36+L36</f>
        <v>257</v>
      </c>
    </row>
    <row r="37" spans="1:13" s="177" customFormat="1" ht="12.75">
      <c r="A37" s="906" t="s">
        <v>88</v>
      </c>
      <c r="B37" s="67">
        <f aca="true" t="shared" si="8" ref="B37:M37">SUM(B25:B34)</f>
        <v>141856</v>
      </c>
      <c r="C37" s="67">
        <f t="shared" si="8"/>
        <v>104</v>
      </c>
      <c r="D37" s="67">
        <f t="shared" si="8"/>
        <v>141960</v>
      </c>
      <c r="E37" s="67">
        <f t="shared" si="8"/>
        <v>104726</v>
      </c>
      <c r="F37" s="67">
        <f t="shared" si="8"/>
        <v>-1488</v>
      </c>
      <c r="G37" s="67">
        <f t="shared" si="8"/>
        <v>103238</v>
      </c>
      <c r="H37" s="67">
        <f t="shared" si="8"/>
        <v>67061</v>
      </c>
      <c r="I37" s="67">
        <f t="shared" si="8"/>
        <v>114</v>
      </c>
      <c r="J37" s="67">
        <f t="shared" si="8"/>
        <v>67175</v>
      </c>
      <c r="K37" s="67">
        <f t="shared" si="8"/>
        <v>191131</v>
      </c>
      <c r="L37" s="67">
        <f t="shared" si="8"/>
        <v>-4653</v>
      </c>
      <c r="M37" s="67">
        <f t="shared" si="8"/>
        <v>186478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Roman,Normál"5&amp;"MS Sans Serif,Normál"&amp;8
&amp;R&amp;"Times New Roman,Normál"6/a. számú melléklet&amp;"MS Sans Serif,Normál"
</oddHeader>
    <oddFooter>&amp;L&amp;"Times New Roman,Normál"&amp;8&amp;F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38.00390625" style="26" customWidth="1"/>
    <col min="2" max="2" width="10.140625" style="26" customWidth="1"/>
    <col min="3" max="3" width="7.8515625" style="26" customWidth="1"/>
    <col min="4" max="4" width="9.421875" style="26" bestFit="1" customWidth="1"/>
    <col min="5" max="5" width="10.140625" style="26" customWidth="1"/>
    <col min="6" max="6" width="7.8515625" style="26" customWidth="1"/>
    <col min="7" max="7" width="9.421875" style="26" bestFit="1" customWidth="1"/>
    <col min="8" max="8" width="10.28125" style="26" customWidth="1"/>
    <col min="9" max="9" width="7.57421875" style="26" customWidth="1"/>
    <col min="10" max="10" width="9.421875" style="26" bestFit="1" customWidth="1"/>
    <col min="11" max="11" width="10.140625" style="26" customWidth="1"/>
    <col min="12" max="12" width="7.57421875" style="26" customWidth="1"/>
    <col min="13" max="13" width="9.00390625" style="26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21</v>
      </c>
      <c r="C4" s="168"/>
      <c r="D4" s="119"/>
      <c r="E4" s="894">
        <v>22</v>
      </c>
      <c r="F4" s="168"/>
      <c r="G4" s="119"/>
      <c r="H4" s="894">
        <v>23</v>
      </c>
      <c r="I4" s="168"/>
      <c r="J4" s="119"/>
      <c r="K4" s="894">
        <v>24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703</v>
      </c>
      <c r="C6" s="168"/>
      <c r="D6" s="119"/>
      <c r="E6" s="894" t="s">
        <v>704</v>
      </c>
      <c r="F6" s="168"/>
      <c r="G6" s="119"/>
      <c r="H6" s="894" t="s">
        <v>705</v>
      </c>
      <c r="I6" s="168"/>
      <c r="J6" s="119"/>
      <c r="K6" s="894" t="s">
        <v>706</v>
      </c>
      <c r="L6" s="168"/>
      <c r="M6" s="119"/>
    </row>
    <row r="7" spans="1:13" ht="12.75">
      <c r="A7" s="892" t="s">
        <v>145</v>
      </c>
      <c r="B7" s="894">
        <v>801115</v>
      </c>
      <c r="C7" s="168"/>
      <c r="D7" s="119"/>
      <c r="E7" s="894">
        <v>801115</v>
      </c>
      <c r="F7" s="168"/>
      <c r="G7" s="119"/>
      <c r="H7" s="894">
        <v>801214</v>
      </c>
      <c r="I7" s="168"/>
      <c r="J7" s="119"/>
      <c r="K7" s="894">
        <v>801214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12.75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36.5</v>
      </c>
      <c r="C11" s="901"/>
      <c r="D11" s="901">
        <f>+B11+C11</f>
        <v>36.5</v>
      </c>
      <c r="E11" s="901">
        <v>21</v>
      </c>
      <c r="F11" s="901"/>
      <c r="G11" s="901">
        <f>+E11+F11</f>
        <v>21</v>
      </c>
      <c r="H11" s="901">
        <v>44</v>
      </c>
      <c r="I11" s="901"/>
      <c r="J11" s="901">
        <f>+H11+I11</f>
        <v>44</v>
      </c>
      <c r="K11" s="901">
        <v>53</v>
      </c>
      <c r="L11" s="901"/>
      <c r="M11" s="901">
        <f>+K11+L11</f>
        <v>53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71802+4043</f>
        <v>75845</v>
      </c>
      <c r="C13" s="412">
        <v>0</v>
      </c>
      <c r="D13" s="412">
        <f>+B13+C13</f>
        <v>75845</v>
      </c>
      <c r="E13" s="412">
        <f>43282+3881</f>
        <v>47163</v>
      </c>
      <c r="F13" s="412">
        <v>0</v>
      </c>
      <c r="G13" s="412">
        <f>+E13+F13</f>
        <v>47163</v>
      </c>
      <c r="H13" s="412">
        <f>112613+4135</f>
        <v>116748</v>
      </c>
      <c r="I13" s="412">
        <v>80</v>
      </c>
      <c r="J13" s="412">
        <f>+H13+I13</f>
        <v>116828</v>
      </c>
      <c r="K13" s="412">
        <f>122703+6987</f>
        <v>129690</v>
      </c>
      <c r="L13" s="412">
        <v>0</v>
      </c>
      <c r="M13" s="412">
        <f>+K13+L13</f>
        <v>129690</v>
      </c>
    </row>
    <row r="14" spans="1:13" s="388" customFormat="1" ht="12.75">
      <c r="A14" s="629" t="s">
        <v>519</v>
      </c>
      <c r="B14" s="412">
        <f>23198+1170</f>
        <v>24368</v>
      </c>
      <c r="C14" s="412">
        <v>0</v>
      </c>
      <c r="D14" s="412">
        <f>+B14+C14</f>
        <v>24368</v>
      </c>
      <c r="E14" s="412">
        <f>14000+1167</f>
        <v>15167</v>
      </c>
      <c r="F14" s="412">
        <v>0</v>
      </c>
      <c r="G14" s="412">
        <f>+E14+F14</f>
        <v>15167</v>
      </c>
      <c r="H14" s="412">
        <f>36173+1193</f>
        <v>37366</v>
      </c>
      <c r="I14" s="412">
        <v>0</v>
      </c>
      <c r="J14" s="412">
        <f>+H14+I14</f>
        <v>37366</v>
      </c>
      <c r="K14" s="412">
        <f>39320+1932</f>
        <v>41252</v>
      </c>
      <c r="L14" s="412">
        <v>0</v>
      </c>
      <c r="M14" s="412">
        <f>+K14+L14</f>
        <v>41252</v>
      </c>
    </row>
    <row r="15" spans="1:13" s="388" customFormat="1" ht="12.75">
      <c r="A15" s="629" t="s">
        <v>520</v>
      </c>
      <c r="B15" s="412">
        <f>25340+1864</f>
        <v>27204</v>
      </c>
      <c r="C15" s="412">
        <v>406</v>
      </c>
      <c r="D15" s="412">
        <f>+B15+C15</f>
        <v>27610</v>
      </c>
      <c r="E15" s="412">
        <f>17227+696</f>
        <v>17923</v>
      </c>
      <c r="F15" s="412">
        <v>-471</v>
      </c>
      <c r="G15" s="412">
        <f>+E15+F15</f>
        <v>17452</v>
      </c>
      <c r="H15" s="412">
        <f>33595+3471</f>
        <v>37066</v>
      </c>
      <c r="I15" s="412">
        <v>333</v>
      </c>
      <c r="J15" s="412">
        <f>+H15+I15</f>
        <v>37399</v>
      </c>
      <c r="K15" s="412">
        <f>52399+2882</f>
        <v>55281</v>
      </c>
      <c r="L15" s="412">
        <v>1193</v>
      </c>
      <c r="M15" s="412">
        <f>+K15+L15</f>
        <v>56474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f>+C16+D16</f>
        <v>0</v>
      </c>
      <c r="F16" s="412">
        <f>+D16+E16</f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f>+C17+D17</f>
        <v>0</v>
      </c>
      <c r="F17" s="412">
        <f>+D17+E17</f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v>0</v>
      </c>
      <c r="L17" s="412"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127417</v>
      </c>
      <c r="C18" s="399">
        <f t="shared" si="0"/>
        <v>406</v>
      </c>
      <c r="D18" s="399">
        <f t="shared" si="0"/>
        <v>127823</v>
      </c>
      <c r="E18" s="399">
        <f t="shared" si="0"/>
        <v>80253</v>
      </c>
      <c r="F18" s="399">
        <f t="shared" si="0"/>
        <v>-471</v>
      </c>
      <c r="G18" s="399">
        <f t="shared" si="0"/>
        <v>79782</v>
      </c>
      <c r="H18" s="399">
        <f t="shared" si="0"/>
        <v>191180</v>
      </c>
      <c r="I18" s="399">
        <f t="shared" si="0"/>
        <v>413</v>
      </c>
      <c r="J18" s="399">
        <f t="shared" si="0"/>
        <v>191593</v>
      </c>
      <c r="K18" s="399">
        <f t="shared" si="0"/>
        <v>226223</v>
      </c>
      <c r="L18" s="399">
        <f t="shared" si="0"/>
        <v>1193</v>
      </c>
      <c r="M18" s="399">
        <f t="shared" si="0"/>
        <v>227416</v>
      </c>
    </row>
    <row r="19" spans="1:13" s="388" customFormat="1" ht="12.75">
      <c r="A19" s="629" t="s">
        <v>171</v>
      </c>
      <c r="B19" s="412">
        <f>2400+265+1500</f>
        <v>4165</v>
      </c>
      <c r="C19" s="412">
        <v>3300</v>
      </c>
      <c r="D19" s="412">
        <f>+B19+C19</f>
        <v>7465</v>
      </c>
      <c r="E19" s="412">
        <v>3360</v>
      </c>
      <c r="F19" s="412">
        <v>4528</v>
      </c>
      <c r="G19" s="412">
        <f>+E19+F19</f>
        <v>7888</v>
      </c>
      <c r="H19" s="412">
        <f>180+8400</f>
        <v>8580</v>
      </c>
      <c r="I19" s="412">
        <v>0</v>
      </c>
      <c r="J19" s="412">
        <f>+H19+I19</f>
        <v>8580</v>
      </c>
      <c r="K19" s="412">
        <f>1952+14400</f>
        <v>16352</v>
      </c>
      <c r="L19" s="412">
        <v>0</v>
      </c>
      <c r="M19" s="412">
        <f>+K19+L19</f>
        <v>16352</v>
      </c>
    </row>
    <row r="20" spans="1:13" s="388" customFormat="1" ht="12.75">
      <c r="A20" s="629" t="s">
        <v>172</v>
      </c>
      <c r="B20" s="412">
        <v>3</v>
      </c>
      <c r="C20" s="412">
        <v>0</v>
      </c>
      <c r="D20" s="412">
        <f>+B20+C20</f>
        <v>3</v>
      </c>
      <c r="E20" s="412">
        <v>6</v>
      </c>
      <c r="F20" s="412">
        <v>0</v>
      </c>
      <c r="G20" s="412">
        <f>+E20+F20</f>
        <v>6</v>
      </c>
      <c r="H20" s="412">
        <f>100+342</f>
        <v>442</v>
      </c>
      <c r="I20" s="412">
        <v>0</v>
      </c>
      <c r="J20" s="412">
        <f>+H20+I20</f>
        <v>442</v>
      </c>
      <c r="K20" s="412">
        <v>429</v>
      </c>
      <c r="L20" s="412">
        <v>0</v>
      </c>
      <c r="M20" s="412">
        <f>+K20+L20</f>
        <v>429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4168</v>
      </c>
      <c r="C22" s="399">
        <f t="shared" si="1"/>
        <v>3300</v>
      </c>
      <c r="D22" s="399">
        <f t="shared" si="1"/>
        <v>7468</v>
      </c>
      <c r="E22" s="399">
        <f t="shared" si="1"/>
        <v>3366</v>
      </c>
      <c r="F22" s="399">
        <f t="shared" si="1"/>
        <v>4528</v>
      </c>
      <c r="G22" s="399">
        <f t="shared" si="1"/>
        <v>7894</v>
      </c>
      <c r="H22" s="399">
        <f t="shared" si="1"/>
        <v>9022</v>
      </c>
      <c r="I22" s="399">
        <f t="shared" si="1"/>
        <v>0</v>
      </c>
      <c r="J22" s="399">
        <f t="shared" si="1"/>
        <v>9022</v>
      </c>
      <c r="K22" s="399">
        <f t="shared" si="1"/>
        <v>16781</v>
      </c>
      <c r="L22" s="399">
        <f t="shared" si="1"/>
        <v>0</v>
      </c>
      <c r="M22" s="399">
        <f t="shared" si="1"/>
        <v>16781</v>
      </c>
    </row>
    <row r="23" spans="1:13" s="902" customFormat="1" ht="12.75">
      <c r="A23" s="903" t="s">
        <v>86</v>
      </c>
      <c r="B23" s="399">
        <f aca="true" t="shared" si="2" ref="B23:M23">SUM(B18+B22)</f>
        <v>131585</v>
      </c>
      <c r="C23" s="399">
        <f t="shared" si="2"/>
        <v>3706</v>
      </c>
      <c r="D23" s="399">
        <f t="shared" si="2"/>
        <v>135291</v>
      </c>
      <c r="E23" s="399">
        <f t="shared" si="2"/>
        <v>83619</v>
      </c>
      <c r="F23" s="399">
        <f t="shared" si="2"/>
        <v>4057</v>
      </c>
      <c r="G23" s="399">
        <f t="shared" si="2"/>
        <v>87676</v>
      </c>
      <c r="H23" s="399">
        <f t="shared" si="2"/>
        <v>200202</v>
      </c>
      <c r="I23" s="399">
        <f t="shared" si="2"/>
        <v>413</v>
      </c>
      <c r="J23" s="399">
        <f t="shared" si="2"/>
        <v>200615</v>
      </c>
      <c r="K23" s="399">
        <f t="shared" si="2"/>
        <v>243004</v>
      </c>
      <c r="L23" s="399">
        <f t="shared" si="2"/>
        <v>1193</v>
      </c>
      <c r="M23" s="399">
        <f t="shared" si="2"/>
        <v>244197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2.75" customHeight="1">
      <c r="A25" s="438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>
        <v>0</v>
      </c>
      <c r="I25" s="412">
        <v>0</v>
      </c>
      <c r="J25" s="412">
        <f aca="true" t="shared" si="5" ref="J25:J33">+H25+I25</f>
        <v>0</v>
      </c>
      <c r="K25" s="412">
        <v>0</v>
      </c>
      <c r="L25" s="412">
        <v>0</v>
      </c>
      <c r="M25" s="412">
        <f aca="true" t="shared" si="6" ref="M25:M33">+K25+L25</f>
        <v>0</v>
      </c>
    </row>
    <row r="26" spans="1:13" s="388" customFormat="1" ht="24">
      <c r="A26" s="438" t="s">
        <v>492</v>
      </c>
      <c r="B26" s="412">
        <v>6764</v>
      </c>
      <c r="C26" s="412">
        <v>0</v>
      </c>
      <c r="D26" s="412">
        <f t="shared" si="3"/>
        <v>6764</v>
      </c>
      <c r="E26" s="412">
        <v>3732</v>
      </c>
      <c r="F26" s="412">
        <v>0</v>
      </c>
      <c r="G26" s="412">
        <f t="shared" si="4"/>
        <v>3732</v>
      </c>
      <c r="H26" s="412">
        <v>5972</v>
      </c>
      <c r="I26" s="412">
        <v>0</v>
      </c>
      <c r="J26" s="412">
        <f t="shared" si="5"/>
        <v>5972</v>
      </c>
      <c r="K26" s="412">
        <v>9633</v>
      </c>
      <c r="L26" s="412">
        <v>0</v>
      </c>
      <c r="M26" s="412">
        <f t="shared" si="6"/>
        <v>9633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v>0</v>
      </c>
      <c r="F27" s="412">
        <v>0</v>
      </c>
      <c r="G27" s="412">
        <f t="shared" si="4"/>
        <v>0</v>
      </c>
      <c r="H27" s="412">
        <v>1380</v>
      </c>
      <c r="I27" s="412">
        <v>0</v>
      </c>
      <c r="J27" s="412">
        <f t="shared" si="5"/>
        <v>1380</v>
      </c>
      <c r="K27" s="412">
        <v>0</v>
      </c>
      <c r="L27" s="412">
        <v>0</v>
      </c>
      <c r="M27" s="412">
        <f t="shared" si="6"/>
        <v>0</v>
      </c>
    </row>
    <row r="28" spans="1:13" s="388" customFormat="1" ht="12.75">
      <c r="A28" s="629" t="s">
        <v>164</v>
      </c>
      <c r="B28" s="412">
        <v>1014</v>
      </c>
      <c r="C28" s="412">
        <v>0</v>
      </c>
      <c r="D28" s="412">
        <f t="shared" si="3"/>
        <v>1014</v>
      </c>
      <c r="E28" s="412">
        <v>560</v>
      </c>
      <c r="F28" s="412">
        <v>0</v>
      </c>
      <c r="G28" s="412">
        <f t="shared" si="4"/>
        <v>560</v>
      </c>
      <c r="H28" s="412">
        <v>1076</v>
      </c>
      <c r="I28" s="412">
        <v>0</v>
      </c>
      <c r="J28" s="412">
        <f t="shared" si="5"/>
        <v>1076</v>
      </c>
      <c r="K28" s="412">
        <v>1413</v>
      </c>
      <c r="L28" s="412">
        <v>0</v>
      </c>
      <c r="M28" s="412">
        <f t="shared" si="6"/>
        <v>1413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4"/>
        <v>0</v>
      </c>
      <c r="H29" s="412">
        <v>0</v>
      </c>
      <c r="I29" s="412">
        <v>0</v>
      </c>
      <c r="J29" s="412">
        <f t="shared" si="5"/>
        <v>0</v>
      </c>
      <c r="K29" s="412">
        <v>0</v>
      </c>
      <c r="L29" s="412">
        <v>0</v>
      </c>
      <c r="M29" s="412">
        <f t="shared" si="6"/>
        <v>0</v>
      </c>
    </row>
    <row r="30" spans="1:13" s="388" customFormat="1" ht="22.5">
      <c r="A30" s="907" t="s">
        <v>165</v>
      </c>
      <c r="B30" s="412">
        <v>170</v>
      </c>
      <c r="C30" s="412">
        <v>0</v>
      </c>
      <c r="D30" s="412">
        <f t="shared" si="3"/>
        <v>170</v>
      </c>
      <c r="E30" s="412">
        <v>5</v>
      </c>
      <c r="F30" s="412">
        <v>0</v>
      </c>
      <c r="G30" s="412">
        <f t="shared" si="4"/>
        <v>5</v>
      </c>
      <c r="H30" s="412">
        <v>300</v>
      </c>
      <c r="I30" s="412">
        <v>0</v>
      </c>
      <c r="J30" s="412">
        <f t="shared" si="5"/>
        <v>300</v>
      </c>
      <c r="K30" s="412">
        <v>0</v>
      </c>
      <c r="L30" s="412">
        <v>0</v>
      </c>
      <c r="M30" s="412">
        <f t="shared" si="6"/>
        <v>0</v>
      </c>
    </row>
    <row r="31" spans="1:13" s="388" customFormat="1" ht="22.5">
      <c r="A31" s="908" t="s">
        <v>166</v>
      </c>
      <c r="B31" s="412">
        <v>0</v>
      </c>
      <c r="C31" s="412">
        <v>0</v>
      </c>
      <c r="D31" s="412">
        <f t="shared" si="3"/>
        <v>0</v>
      </c>
      <c r="E31" s="412">
        <v>0</v>
      </c>
      <c r="F31" s="412">
        <v>0</v>
      </c>
      <c r="G31" s="412">
        <f t="shared" si="4"/>
        <v>0</v>
      </c>
      <c r="H31" s="412">
        <v>0</v>
      </c>
      <c r="I31" s="412">
        <v>0</v>
      </c>
      <c r="J31" s="412">
        <f t="shared" si="5"/>
        <v>0</v>
      </c>
      <c r="K31" s="412">
        <v>0</v>
      </c>
      <c r="L31" s="412">
        <v>0</v>
      </c>
      <c r="M31" s="412">
        <f t="shared" si="6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>
        <v>0</v>
      </c>
      <c r="I32" s="412">
        <v>0</v>
      </c>
      <c r="J32" s="412">
        <f t="shared" si="5"/>
        <v>0</v>
      </c>
      <c r="K32" s="412">
        <v>0</v>
      </c>
      <c r="L32" s="412">
        <v>0</v>
      </c>
      <c r="M32" s="412">
        <f t="shared" si="6"/>
        <v>0</v>
      </c>
    </row>
    <row r="33" spans="1:13" s="388" customFormat="1" ht="12.75">
      <c r="A33" s="629" t="s">
        <v>168</v>
      </c>
      <c r="B33" s="412">
        <v>5846</v>
      </c>
      <c r="C33" s="412">
        <v>0</v>
      </c>
      <c r="D33" s="412">
        <f t="shared" si="3"/>
        <v>5846</v>
      </c>
      <c r="E33" s="412">
        <v>4662</v>
      </c>
      <c r="F33" s="412">
        <v>0</v>
      </c>
      <c r="G33" s="412">
        <f t="shared" si="4"/>
        <v>4662</v>
      </c>
      <c r="H33" s="412">
        <v>4673</v>
      </c>
      <c r="I33" s="412">
        <v>0</v>
      </c>
      <c r="J33" s="412">
        <f t="shared" si="5"/>
        <v>4673</v>
      </c>
      <c r="K33" s="412">
        <v>10627</v>
      </c>
      <c r="L33" s="412">
        <v>0</v>
      </c>
      <c r="M33" s="412">
        <f t="shared" si="6"/>
        <v>10627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117791</v>
      </c>
      <c r="C34" s="412">
        <f t="shared" si="7"/>
        <v>3706</v>
      </c>
      <c r="D34" s="412">
        <f t="shared" si="7"/>
        <v>121497</v>
      </c>
      <c r="E34" s="412">
        <f t="shared" si="7"/>
        <v>74660</v>
      </c>
      <c r="F34" s="412">
        <f t="shared" si="7"/>
        <v>4057</v>
      </c>
      <c r="G34" s="412">
        <f t="shared" si="7"/>
        <v>78717</v>
      </c>
      <c r="H34" s="412">
        <f t="shared" si="7"/>
        <v>186801</v>
      </c>
      <c r="I34" s="412">
        <f t="shared" si="7"/>
        <v>413</v>
      </c>
      <c r="J34" s="412">
        <f t="shared" si="7"/>
        <v>187214</v>
      </c>
      <c r="K34" s="412">
        <f t="shared" si="7"/>
        <v>221331</v>
      </c>
      <c r="L34" s="412">
        <f t="shared" si="7"/>
        <v>1193</v>
      </c>
      <c r="M34" s="412">
        <f t="shared" si="7"/>
        <v>222524</v>
      </c>
    </row>
    <row r="35" spans="1:13" ht="12.75">
      <c r="A35" s="909" t="s">
        <v>211</v>
      </c>
      <c r="B35" s="66">
        <v>42496</v>
      </c>
      <c r="C35" s="66">
        <f>42364-B35+C36</f>
        <v>79</v>
      </c>
      <c r="D35" s="66">
        <f>+B35+C35</f>
        <v>42575</v>
      </c>
      <c r="E35" s="66">
        <v>22974</v>
      </c>
      <c r="F35" s="66">
        <f>22903-E35+F36</f>
        <v>46</v>
      </c>
      <c r="G35" s="66">
        <f>+E35+F35</f>
        <v>23020</v>
      </c>
      <c r="H35" s="66">
        <v>76340</v>
      </c>
      <c r="I35" s="66">
        <f>76275-H35+I36</f>
        <v>263</v>
      </c>
      <c r="J35" s="66">
        <f>+H35+I35</f>
        <v>76603</v>
      </c>
      <c r="K35" s="66">
        <v>98476</v>
      </c>
      <c r="L35" s="66">
        <f>98366-K35+L36</f>
        <v>294</v>
      </c>
      <c r="M35" s="66">
        <f>+K35+L35</f>
        <v>98770</v>
      </c>
    </row>
    <row r="36" spans="1:13" ht="22.5">
      <c r="A36" s="905" t="s">
        <v>686</v>
      </c>
      <c r="B36" s="66"/>
      <c r="C36" s="66">
        <v>211</v>
      </c>
      <c r="D36" s="66">
        <f>+B36+C36</f>
        <v>211</v>
      </c>
      <c r="E36" s="66"/>
      <c r="F36" s="66">
        <v>117</v>
      </c>
      <c r="G36" s="66">
        <f>+E36+F36</f>
        <v>117</v>
      </c>
      <c r="H36" s="66"/>
      <c r="I36" s="66">
        <v>328</v>
      </c>
      <c r="J36" s="66">
        <f>+H36+I36</f>
        <v>328</v>
      </c>
      <c r="K36" s="66"/>
      <c r="L36" s="66">
        <v>404</v>
      </c>
      <c r="M36" s="66">
        <f>+K36+L36</f>
        <v>404</v>
      </c>
    </row>
    <row r="37" spans="1:13" s="177" customFormat="1" ht="12.75">
      <c r="A37" s="906" t="s">
        <v>88</v>
      </c>
      <c r="B37" s="67">
        <f aca="true" t="shared" si="8" ref="B37:M37">SUM(B25:B34)</f>
        <v>131585</v>
      </c>
      <c r="C37" s="67">
        <f t="shared" si="8"/>
        <v>3706</v>
      </c>
      <c r="D37" s="67">
        <f t="shared" si="8"/>
        <v>135291</v>
      </c>
      <c r="E37" s="67">
        <f t="shared" si="8"/>
        <v>83619</v>
      </c>
      <c r="F37" s="67">
        <f t="shared" si="8"/>
        <v>4057</v>
      </c>
      <c r="G37" s="67">
        <f t="shared" si="8"/>
        <v>87676</v>
      </c>
      <c r="H37" s="67">
        <f t="shared" si="8"/>
        <v>200202</v>
      </c>
      <c r="I37" s="67">
        <f t="shared" si="8"/>
        <v>413</v>
      </c>
      <c r="J37" s="67">
        <f t="shared" si="8"/>
        <v>200615</v>
      </c>
      <c r="K37" s="67">
        <f t="shared" si="8"/>
        <v>243004</v>
      </c>
      <c r="L37" s="67">
        <f t="shared" si="8"/>
        <v>1193</v>
      </c>
      <c r="M37" s="67">
        <f t="shared" si="8"/>
        <v>244197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Roman,Normál"6&amp;R&amp;"Times New Roman,Normál"6/a. számú melléklet&amp;"MS Sans Serif,Normál"
</oddHeader>
    <oddFooter>&amp;L&amp;"Times New Roman,Normál"&amp;8&amp;F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34.7109375" style="26" customWidth="1"/>
    <col min="2" max="2" width="9.8515625" style="26" customWidth="1"/>
    <col min="3" max="3" width="7.7109375" style="26" customWidth="1"/>
    <col min="4" max="4" width="9.421875" style="26" bestFit="1" customWidth="1"/>
    <col min="5" max="5" width="10.140625" style="26" customWidth="1"/>
    <col min="6" max="6" width="7.8515625" style="26" customWidth="1"/>
    <col min="7" max="7" width="9.421875" style="26" bestFit="1" customWidth="1"/>
    <col min="8" max="8" width="10.140625" style="26" customWidth="1"/>
    <col min="9" max="9" width="7.7109375" style="26" customWidth="1"/>
    <col min="10" max="10" width="9.421875" style="26" bestFit="1" customWidth="1"/>
    <col min="11" max="11" width="10.00390625" style="26" customWidth="1"/>
    <col min="12" max="12" width="7.710937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25</v>
      </c>
      <c r="C4" s="168"/>
      <c r="D4" s="119"/>
      <c r="E4" s="894">
        <v>26</v>
      </c>
      <c r="F4" s="168"/>
      <c r="G4" s="119"/>
      <c r="H4" s="894">
        <v>27</v>
      </c>
      <c r="I4" s="168"/>
      <c r="J4" s="119"/>
      <c r="K4" s="894">
        <v>28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707</v>
      </c>
      <c r="C6" s="168"/>
      <c r="D6" s="119"/>
      <c r="E6" s="894" t="s">
        <v>708</v>
      </c>
      <c r="F6" s="168"/>
      <c r="G6" s="119"/>
      <c r="H6" s="894" t="s">
        <v>709</v>
      </c>
      <c r="I6" s="168"/>
      <c r="J6" s="119"/>
      <c r="K6" s="894" t="s">
        <v>710</v>
      </c>
      <c r="L6" s="168"/>
      <c r="M6" s="119"/>
    </row>
    <row r="7" spans="1:13" ht="12.75">
      <c r="A7" s="892" t="s">
        <v>145</v>
      </c>
      <c r="B7" s="894">
        <v>801214</v>
      </c>
      <c r="C7" s="168"/>
      <c r="D7" s="119"/>
      <c r="E7" s="894">
        <v>801214</v>
      </c>
      <c r="F7" s="168"/>
      <c r="G7" s="119"/>
      <c r="H7" s="894">
        <v>801214</v>
      </c>
      <c r="I7" s="168"/>
      <c r="J7" s="119"/>
      <c r="K7" s="894">
        <v>801214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/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56</v>
      </c>
      <c r="C11" s="901">
        <v>-2</v>
      </c>
      <c r="D11" s="901">
        <f>+B11+C11</f>
        <v>54</v>
      </c>
      <c r="E11" s="901">
        <v>46.5</v>
      </c>
      <c r="F11" s="901"/>
      <c r="G11" s="901">
        <f>+E11+F11</f>
        <v>46.5</v>
      </c>
      <c r="H11" s="901">
        <v>50.5</v>
      </c>
      <c r="I11" s="901"/>
      <c r="J11" s="901">
        <f>+H11+I11</f>
        <v>50.5</v>
      </c>
      <c r="K11" s="901">
        <v>40</v>
      </c>
      <c r="L11" s="901">
        <v>-1</v>
      </c>
      <c r="M11" s="901">
        <f>+K11+L11</f>
        <v>39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140282+8152</f>
        <v>148434</v>
      </c>
      <c r="C13" s="412">
        <v>-165</v>
      </c>
      <c r="D13" s="412">
        <f>+B13+C13</f>
        <v>148269</v>
      </c>
      <c r="E13" s="412">
        <f>109261+4413</f>
        <v>113674</v>
      </c>
      <c r="F13" s="412"/>
      <c r="G13" s="412">
        <f>+E13+F13</f>
        <v>113674</v>
      </c>
      <c r="H13" s="412">
        <f>116060+6196</f>
        <v>122256</v>
      </c>
      <c r="I13" s="412">
        <v>0</v>
      </c>
      <c r="J13" s="412">
        <f>+H13+I13</f>
        <v>122256</v>
      </c>
      <c r="K13" s="412">
        <f>90557+6079</f>
        <v>96636</v>
      </c>
      <c r="L13" s="412">
        <v>0</v>
      </c>
      <c r="M13" s="412">
        <f>+K13+L13</f>
        <v>96636</v>
      </c>
    </row>
    <row r="14" spans="1:13" s="388" customFormat="1" ht="12.75">
      <c r="A14" s="629" t="s">
        <v>519</v>
      </c>
      <c r="B14" s="412">
        <f>45005+2457</f>
        <v>47462</v>
      </c>
      <c r="C14" s="412">
        <f>-48-5</f>
        <v>-53</v>
      </c>
      <c r="D14" s="412">
        <f>+B14+C14</f>
        <v>47409</v>
      </c>
      <c r="E14" s="412">
        <f>35041+1165</f>
        <v>36206</v>
      </c>
      <c r="F14" s="412"/>
      <c r="G14" s="412">
        <f>+E14+F14</f>
        <v>36206</v>
      </c>
      <c r="H14" s="412">
        <f>37411+1836</f>
        <v>39247</v>
      </c>
      <c r="I14" s="412">
        <v>0</v>
      </c>
      <c r="J14" s="412">
        <f>+H14+I14</f>
        <v>39247</v>
      </c>
      <c r="K14" s="412">
        <f>28992+1720</f>
        <v>30712</v>
      </c>
      <c r="L14" s="412">
        <v>0</v>
      </c>
      <c r="M14" s="412">
        <f>+K14+L14</f>
        <v>30712</v>
      </c>
    </row>
    <row r="15" spans="1:13" s="388" customFormat="1" ht="12.75">
      <c r="A15" s="629" t="s">
        <v>520</v>
      </c>
      <c r="B15" s="412">
        <f>42445+5645</f>
        <v>48090</v>
      </c>
      <c r="C15" s="412">
        <v>706</v>
      </c>
      <c r="D15" s="412">
        <f>+B15+C15</f>
        <v>48796</v>
      </c>
      <c r="E15" s="412">
        <f>42671+2489</f>
        <v>45160</v>
      </c>
      <c r="F15" s="412">
        <v>442</v>
      </c>
      <c r="G15" s="412">
        <f>+E15+F15</f>
        <v>45602</v>
      </c>
      <c r="H15" s="412">
        <f>58094+2062</f>
        <v>60156</v>
      </c>
      <c r="I15" s="412">
        <v>1217</v>
      </c>
      <c r="J15" s="412">
        <f>+H15+I15</f>
        <v>61373</v>
      </c>
      <c r="K15" s="412">
        <f>32345+1810</f>
        <v>34155</v>
      </c>
      <c r="L15" s="412">
        <v>233</v>
      </c>
      <c r="M15" s="412">
        <f>+K15+L15</f>
        <v>34388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262</v>
      </c>
      <c r="C17" s="412">
        <v>0</v>
      </c>
      <c r="D17" s="412">
        <f>+B17+C17</f>
        <v>262</v>
      </c>
      <c r="E17" s="412">
        <v>0</v>
      </c>
      <c r="F17" s="412"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v>0</v>
      </c>
      <c r="L17" s="412"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244248</v>
      </c>
      <c r="C18" s="399">
        <f t="shared" si="0"/>
        <v>488</v>
      </c>
      <c r="D18" s="399">
        <f t="shared" si="0"/>
        <v>244736</v>
      </c>
      <c r="E18" s="399">
        <f t="shared" si="0"/>
        <v>195040</v>
      </c>
      <c r="F18" s="399">
        <f t="shared" si="0"/>
        <v>442</v>
      </c>
      <c r="G18" s="399">
        <f t="shared" si="0"/>
        <v>195482</v>
      </c>
      <c r="H18" s="399">
        <f t="shared" si="0"/>
        <v>221659</v>
      </c>
      <c r="I18" s="399">
        <f t="shared" si="0"/>
        <v>1217</v>
      </c>
      <c r="J18" s="399">
        <f t="shared" si="0"/>
        <v>222876</v>
      </c>
      <c r="K18" s="399">
        <f t="shared" si="0"/>
        <v>161503</v>
      </c>
      <c r="L18" s="399">
        <f t="shared" si="0"/>
        <v>233</v>
      </c>
      <c r="M18" s="399">
        <f t="shared" si="0"/>
        <v>161736</v>
      </c>
    </row>
    <row r="19" spans="1:13" s="388" customFormat="1" ht="12.75">
      <c r="A19" s="629" t="s">
        <v>171</v>
      </c>
      <c r="B19" s="412">
        <v>4800</v>
      </c>
      <c r="C19" s="412">
        <v>0</v>
      </c>
      <c r="D19" s="412">
        <f>+B19+C19</f>
        <v>4800</v>
      </c>
      <c r="E19" s="412">
        <v>8400</v>
      </c>
      <c r="F19" s="412">
        <v>4000</v>
      </c>
      <c r="G19" s="412">
        <f>+E19+F19</f>
        <v>12400</v>
      </c>
      <c r="H19" s="412">
        <v>27600</v>
      </c>
      <c r="I19" s="412">
        <v>-112</v>
      </c>
      <c r="J19" s="412">
        <f>+H19+I19</f>
        <v>27488</v>
      </c>
      <c r="K19" s="412">
        <f>5100+2300</f>
        <v>7400</v>
      </c>
      <c r="L19" s="412">
        <v>0</v>
      </c>
      <c r="M19" s="412">
        <f>+K19+L19</f>
        <v>7400</v>
      </c>
    </row>
    <row r="20" spans="1:13" s="388" customFormat="1" ht="12.75">
      <c r="A20" s="629" t="s">
        <v>172</v>
      </c>
      <c r="B20" s="412">
        <v>468</v>
      </c>
      <c r="C20" s="412">
        <v>0</v>
      </c>
      <c r="D20" s="412">
        <f>+B20+C20</f>
        <v>468</v>
      </c>
      <c r="E20" s="412">
        <v>440</v>
      </c>
      <c r="F20" s="412">
        <v>0</v>
      </c>
      <c r="G20" s="412">
        <f>+E20+F20</f>
        <v>440</v>
      </c>
      <c r="H20" s="412">
        <f>458+117</f>
        <v>575</v>
      </c>
      <c r="I20" s="412">
        <v>0</v>
      </c>
      <c r="J20" s="412">
        <f>+H20+I20</f>
        <v>575</v>
      </c>
      <c r="K20" s="412">
        <v>237</v>
      </c>
      <c r="L20" s="412">
        <v>0</v>
      </c>
      <c r="M20" s="412">
        <f>+K20+L20</f>
        <v>237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5268</v>
      </c>
      <c r="C22" s="399">
        <f t="shared" si="1"/>
        <v>0</v>
      </c>
      <c r="D22" s="399">
        <f t="shared" si="1"/>
        <v>5268</v>
      </c>
      <c r="E22" s="399">
        <f t="shared" si="1"/>
        <v>8840</v>
      </c>
      <c r="F22" s="399">
        <f t="shared" si="1"/>
        <v>4000</v>
      </c>
      <c r="G22" s="399">
        <f t="shared" si="1"/>
        <v>12840</v>
      </c>
      <c r="H22" s="399">
        <f t="shared" si="1"/>
        <v>28175</v>
      </c>
      <c r="I22" s="399">
        <f t="shared" si="1"/>
        <v>-112</v>
      </c>
      <c r="J22" s="399">
        <f t="shared" si="1"/>
        <v>28063</v>
      </c>
      <c r="K22" s="399">
        <f t="shared" si="1"/>
        <v>7637</v>
      </c>
      <c r="L22" s="399">
        <f t="shared" si="1"/>
        <v>0</v>
      </c>
      <c r="M22" s="399">
        <f t="shared" si="1"/>
        <v>7637</v>
      </c>
    </row>
    <row r="23" spans="1:13" s="902" customFormat="1" ht="12.75">
      <c r="A23" s="903" t="s">
        <v>86</v>
      </c>
      <c r="B23" s="399">
        <f aca="true" t="shared" si="2" ref="B23:M23">SUM(B18+B22)</f>
        <v>249516</v>
      </c>
      <c r="C23" s="399">
        <f t="shared" si="2"/>
        <v>488</v>
      </c>
      <c r="D23" s="399">
        <f t="shared" si="2"/>
        <v>250004</v>
      </c>
      <c r="E23" s="399">
        <f t="shared" si="2"/>
        <v>203880</v>
      </c>
      <c r="F23" s="399">
        <f t="shared" si="2"/>
        <v>4442</v>
      </c>
      <c r="G23" s="399">
        <f t="shared" si="2"/>
        <v>208322</v>
      </c>
      <c r="H23" s="399">
        <f t="shared" si="2"/>
        <v>249834</v>
      </c>
      <c r="I23" s="399">
        <f t="shared" si="2"/>
        <v>1105</v>
      </c>
      <c r="J23" s="399">
        <f t="shared" si="2"/>
        <v>250939</v>
      </c>
      <c r="K23" s="399">
        <f t="shared" si="2"/>
        <v>169140</v>
      </c>
      <c r="L23" s="399">
        <f t="shared" si="2"/>
        <v>233</v>
      </c>
      <c r="M23" s="399">
        <f t="shared" si="2"/>
        <v>169373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1.25" customHeight="1">
      <c r="A25" s="907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>
        <v>0</v>
      </c>
      <c r="I25" s="412">
        <v>0</v>
      </c>
      <c r="J25" s="412">
        <f aca="true" t="shared" si="5" ref="J25:J33">+H25+I25</f>
        <v>0</v>
      </c>
      <c r="K25" s="412">
        <v>0</v>
      </c>
      <c r="L25" s="412">
        <v>0</v>
      </c>
      <c r="M25" s="412">
        <f aca="true" t="shared" si="6" ref="M25:M33">+K25+L25</f>
        <v>0</v>
      </c>
    </row>
    <row r="26" spans="1:13" s="388" customFormat="1" ht="22.5">
      <c r="A26" s="907" t="s">
        <v>492</v>
      </c>
      <c r="B26" s="412">
        <v>6356</v>
      </c>
      <c r="C26" s="412">
        <v>0</v>
      </c>
      <c r="D26" s="412">
        <f t="shared" si="3"/>
        <v>6356</v>
      </c>
      <c r="E26" s="412">
        <v>10083</v>
      </c>
      <c r="F26" s="412">
        <v>0</v>
      </c>
      <c r="G26" s="412">
        <f t="shared" si="4"/>
        <v>10083</v>
      </c>
      <c r="H26" s="412">
        <v>10449</v>
      </c>
      <c r="I26" s="412">
        <v>0</v>
      </c>
      <c r="J26" s="412">
        <f t="shared" si="5"/>
        <v>10449</v>
      </c>
      <c r="K26" s="412">
        <v>5005</v>
      </c>
      <c r="L26" s="412">
        <v>0</v>
      </c>
      <c r="M26" s="412">
        <f t="shared" si="6"/>
        <v>5005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v>0</v>
      </c>
      <c r="F27" s="412">
        <v>0</v>
      </c>
      <c r="G27" s="412">
        <f t="shared" si="4"/>
        <v>0</v>
      </c>
      <c r="H27" s="412">
        <v>1615</v>
      </c>
      <c r="I27" s="412">
        <v>0</v>
      </c>
      <c r="J27" s="412">
        <f t="shared" si="5"/>
        <v>1615</v>
      </c>
      <c r="K27" s="412">
        <v>0</v>
      </c>
      <c r="L27" s="412">
        <v>0</v>
      </c>
      <c r="M27" s="412">
        <f t="shared" si="6"/>
        <v>0</v>
      </c>
    </row>
    <row r="28" spans="1:13" s="388" customFormat="1" ht="12.75">
      <c r="A28" s="629" t="s">
        <v>164</v>
      </c>
      <c r="B28" s="412">
        <v>896</v>
      </c>
      <c r="C28" s="412">
        <v>0</v>
      </c>
      <c r="D28" s="412">
        <f t="shared" si="3"/>
        <v>896</v>
      </c>
      <c r="E28" s="412">
        <v>1495</v>
      </c>
      <c r="F28" s="412">
        <v>0</v>
      </c>
      <c r="G28" s="412">
        <f t="shared" si="4"/>
        <v>1495</v>
      </c>
      <c r="H28" s="412">
        <v>1757</v>
      </c>
      <c r="I28" s="412">
        <v>0</v>
      </c>
      <c r="J28" s="412">
        <f t="shared" si="5"/>
        <v>1757</v>
      </c>
      <c r="K28" s="412">
        <v>653</v>
      </c>
      <c r="L28" s="412">
        <v>0</v>
      </c>
      <c r="M28" s="412">
        <f t="shared" si="6"/>
        <v>653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4"/>
        <v>0</v>
      </c>
      <c r="H29" s="412">
        <v>0</v>
      </c>
      <c r="I29" s="412">
        <v>0</v>
      </c>
      <c r="J29" s="412">
        <f t="shared" si="5"/>
        <v>0</v>
      </c>
      <c r="K29" s="412">
        <v>0</v>
      </c>
      <c r="L29" s="412">
        <v>0</v>
      </c>
      <c r="M29" s="412">
        <f t="shared" si="6"/>
        <v>0</v>
      </c>
    </row>
    <row r="30" spans="1:13" s="388" customFormat="1" ht="24">
      <c r="A30" s="438" t="s">
        <v>165</v>
      </c>
      <c r="B30" s="412">
        <f>485+300</f>
        <v>785</v>
      </c>
      <c r="C30" s="412">
        <v>0</v>
      </c>
      <c r="D30" s="412">
        <f t="shared" si="3"/>
        <v>785</v>
      </c>
      <c r="E30" s="412">
        <v>0</v>
      </c>
      <c r="F30" s="412">
        <v>0</v>
      </c>
      <c r="G30" s="412">
        <f t="shared" si="4"/>
        <v>0</v>
      </c>
      <c r="H30" s="412">
        <v>0</v>
      </c>
      <c r="I30" s="412">
        <v>0</v>
      </c>
      <c r="J30" s="412">
        <f t="shared" si="5"/>
        <v>0</v>
      </c>
      <c r="K30" s="412">
        <v>0</v>
      </c>
      <c r="L30" s="412">
        <v>0</v>
      </c>
      <c r="M30" s="412">
        <f t="shared" si="6"/>
        <v>0</v>
      </c>
    </row>
    <row r="31" spans="1:13" s="388" customFormat="1" ht="24">
      <c r="A31" s="707" t="s">
        <v>166</v>
      </c>
      <c r="B31" s="412">
        <v>0</v>
      </c>
      <c r="C31" s="412">
        <v>0</v>
      </c>
      <c r="D31" s="412">
        <f t="shared" si="3"/>
        <v>0</v>
      </c>
      <c r="E31" s="412">
        <v>0</v>
      </c>
      <c r="F31" s="412">
        <v>0</v>
      </c>
      <c r="G31" s="412">
        <f t="shared" si="4"/>
        <v>0</v>
      </c>
      <c r="H31" s="412">
        <v>0</v>
      </c>
      <c r="I31" s="412">
        <v>0</v>
      </c>
      <c r="J31" s="412">
        <f t="shared" si="5"/>
        <v>0</v>
      </c>
      <c r="K31" s="412">
        <v>0</v>
      </c>
      <c r="L31" s="412">
        <v>0</v>
      </c>
      <c r="M31" s="412">
        <f t="shared" si="6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>
        <v>0</v>
      </c>
      <c r="I32" s="412">
        <v>0</v>
      </c>
      <c r="J32" s="412">
        <f t="shared" si="5"/>
        <v>0</v>
      </c>
      <c r="K32" s="412">
        <v>0</v>
      </c>
      <c r="L32" s="412">
        <v>0</v>
      </c>
      <c r="M32" s="412">
        <f t="shared" si="6"/>
        <v>0</v>
      </c>
    </row>
    <row r="33" spans="1:13" s="388" customFormat="1" ht="12.75">
      <c r="A33" s="629" t="s">
        <v>168</v>
      </c>
      <c r="B33" s="412">
        <v>11236</v>
      </c>
      <c r="C33" s="412">
        <v>0</v>
      </c>
      <c r="D33" s="412">
        <f t="shared" si="3"/>
        <v>11236</v>
      </c>
      <c r="E33" s="412">
        <v>5167</v>
      </c>
      <c r="F33" s="412">
        <v>0</v>
      </c>
      <c r="G33" s="412">
        <f t="shared" si="4"/>
        <v>5167</v>
      </c>
      <c r="H33" s="412">
        <v>7290</v>
      </c>
      <c r="I33" s="412">
        <v>0</v>
      </c>
      <c r="J33" s="412">
        <f t="shared" si="5"/>
        <v>7290</v>
      </c>
      <c r="K33" s="412">
        <v>7341</v>
      </c>
      <c r="L33" s="412">
        <v>0</v>
      </c>
      <c r="M33" s="412">
        <f t="shared" si="6"/>
        <v>7341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230243</v>
      </c>
      <c r="C34" s="412">
        <f t="shared" si="7"/>
        <v>488</v>
      </c>
      <c r="D34" s="412">
        <f t="shared" si="7"/>
        <v>230731</v>
      </c>
      <c r="E34" s="412">
        <f t="shared" si="7"/>
        <v>187135</v>
      </c>
      <c r="F34" s="412">
        <f t="shared" si="7"/>
        <v>4442</v>
      </c>
      <c r="G34" s="412">
        <f t="shared" si="7"/>
        <v>191577</v>
      </c>
      <c r="H34" s="412">
        <f t="shared" si="7"/>
        <v>228723</v>
      </c>
      <c r="I34" s="412">
        <f t="shared" si="7"/>
        <v>1105</v>
      </c>
      <c r="J34" s="412">
        <f t="shared" si="7"/>
        <v>229828</v>
      </c>
      <c r="K34" s="412">
        <f t="shared" si="7"/>
        <v>156141</v>
      </c>
      <c r="L34" s="412">
        <f t="shared" si="7"/>
        <v>233</v>
      </c>
      <c r="M34" s="412">
        <f t="shared" si="7"/>
        <v>156374</v>
      </c>
    </row>
    <row r="35" spans="1:13" ht="12.75">
      <c r="A35" s="909" t="s">
        <v>211</v>
      </c>
      <c r="B35" s="66">
        <v>96670</v>
      </c>
      <c r="C35" s="66">
        <f>96627-B35+C36</f>
        <v>402</v>
      </c>
      <c r="D35" s="66">
        <f>+B35+C35</f>
        <v>97072</v>
      </c>
      <c r="E35" s="66">
        <v>93855</v>
      </c>
      <c r="F35" s="66">
        <f>93727-E35+F36</f>
        <v>258</v>
      </c>
      <c r="G35" s="66">
        <f>+E35+F35</f>
        <v>94113</v>
      </c>
      <c r="H35" s="66">
        <v>100651</v>
      </c>
      <c r="I35" s="66">
        <f>100502-H35+I36</f>
        <v>225</v>
      </c>
      <c r="J35" s="66">
        <f>+H35+I35</f>
        <v>100876</v>
      </c>
      <c r="K35" s="66">
        <v>52163</v>
      </c>
      <c r="L35" s="66">
        <f>52124-K35+L36</f>
        <v>265</v>
      </c>
      <c r="M35" s="66">
        <f>+K35+L35</f>
        <v>52428</v>
      </c>
    </row>
    <row r="36" spans="1:13" ht="22.5">
      <c r="A36" s="905" t="s">
        <v>711</v>
      </c>
      <c r="B36" s="66"/>
      <c r="C36" s="66">
        <v>445</v>
      </c>
      <c r="D36" s="66">
        <f>+B36+C36</f>
        <v>445</v>
      </c>
      <c r="E36" s="66"/>
      <c r="F36" s="66">
        <v>386</v>
      </c>
      <c r="G36" s="66">
        <f>+E36+F36</f>
        <v>386</v>
      </c>
      <c r="H36" s="66"/>
      <c r="I36" s="66">
        <v>374</v>
      </c>
      <c r="J36" s="66">
        <f>+H36+I36</f>
        <v>374</v>
      </c>
      <c r="K36" s="66"/>
      <c r="L36" s="66">
        <v>304</v>
      </c>
      <c r="M36" s="66">
        <f>+K36+L36</f>
        <v>304</v>
      </c>
    </row>
    <row r="37" spans="1:13" s="177" customFormat="1" ht="12.75">
      <c r="A37" s="906" t="s">
        <v>88</v>
      </c>
      <c r="B37" s="67">
        <f aca="true" t="shared" si="8" ref="B37:M37">SUM(B25:B34)</f>
        <v>249516</v>
      </c>
      <c r="C37" s="67">
        <f t="shared" si="8"/>
        <v>488</v>
      </c>
      <c r="D37" s="67">
        <f t="shared" si="8"/>
        <v>250004</v>
      </c>
      <c r="E37" s="67">
        <f t="shared" si="8"/>
        <v>203880</v>
      </c>
      <c r="F37" s="67">
        <f t="shared" si="8"/>
        <v>4442</v>
      </c>
      <c r="G37" s="67">
        <f t="shared" si="8"/>
        <v>208322</v>
      </c>
      <c r="H37" s="67">
        <f t="shared" si="8"/>
        <v>249834</v>
      </c>
      <c r="I37" s="67">
        <f t="shared" si="8"/>
        <v>1105</v>
      </c>
      <c r="J37" s="67">
        <f t="shared" si="8"/>
        <v>250939</v>
      </c>
      <c r="K37" s="67">
        <f t="shared" si="8"/>
        <v>169140</v>
      </c>
      <c r="L37" s="67">
        <f t="shared" si="8"/>
        <v>233</v>
      </c>
      <c r="M37" s="67">
        <f t="shared" si="8"/>
        <v>169373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Roman,Normál"7&amp;R&amp;"Times New Roman,Normál"6/a. számú melléklet</oddHeader>
    <oddFooter>&amp;L&amp;"Times New Roman,Normál"&amp;8&amp;F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36.8515625" style="26" customWidth="1"/>
    <col min="2" max="2" width="10.140625" style="26" customWidth="1"/>
    <col min="3" max="3" width="7.57421875" style="26" customWidth="1"/>
    <col min="4" max="4" width="9.421875" style="26" bestFit="1" customWidth="1"/>
    <col min="5" max="5" width="10.140625" style="26" customWidth="1"/>
    <col min="6" max="6" width="7.7109375" style="26" customWidth="1"/>
    <col min="7" max="7" width="9.421875" style="26" bestFit="1" customWidth="1"/>
    <col min="8" max="8" width="10.28125" style="26" customWidth="1"/>
    <col min="9" max="9" width="7.7109375" style="26" customWidth="1"/>
    <col min="10" max="10" width="9.421875" style="26" bestFit="1" customWidth="1"/>
    <col min="11" max="11" width="10.28125" style="26" customWidth="1"/>
    <col min="12" max="12" width="7.42187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29</v>
      </c>
      <c r="C4" s="168"/>
      <c r="D4" s="119"/>
      <c r="E4" s="894">
        <v>30</v>
      </c>
      <c r="F4" s="168"/>
      <c r="G4" s="119"/>
      <c r="H4" s="894">
        <v>31</v>
      </c>
      <c r="I4" s="168"/>
      <c r="J4" s="119"/>
      <c r="K4" s="894">
        <v>32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712</v>
      </c>
      <c r="C6" s="168"/>
      <c r="D6" s="119"/>
      <c r="E6" s="894" t="s">
        <v>713</v>
      </c>
      <c r="F6" s="168"/>
      <c r="G6" s="119"/>
      <c r="H6" s="894" t="s">
        <v>714</v>
      </c>
      <c r="I6" s="168"/>
      <c r="J6" s="119"/>
      <c r="K6" s="894" t="s">
        <v>715</v>
      </c>
      <c r="L6" s="168"/>
      <c r="M6" s="119"/>
    </row>
    <row r="7" spans="1:13" ht="12.75">
      <c r="A7" s="892" t="s">
        <v>145</v>
      </c>
      <c r="B7" s="894">
        <v>801214</v>
      </c>
      <c r="C7" s="168"/>
      <c r="D7" s="119"/>
      <c r="E7" s="894">
        <v>801214</v>
      </c>
      <c r="F7" s="168"/>
      <c r="G7" s="119"/>
      <c r="H7" s="894">
        <v>801214</v>
      </c>
      <c r="I7" s="168"/>
      <c r="J7" s="119"/>
      <c r="K7" s="894">
        <v>801214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45.5</v>
      </c>
      <c r="C11" s="901"/>
      <c r="D11" s="901">
        <f>+B11+C11</f>
        <v>45.5</v>
      </c>
      <c r="E11" s="901">
        <v>31</v>
      </c>
      <c r="F11" s="901"/>
      <c r="G11" s="901">
        <f>+E11+F11</f>
        <v>31</v>
      </c>
      <c r="H11" s="901">
        <v>48</v>
      </c>
      <c r="I11" s="901">
        <v>-1</v>
      </c>
      <c r="J11" s="901">
        <f>+H11+I11</f>
        <v>47</v>
      </c>
      <c r="K11" s="901">
        <v>56.5</v>
      </c>
      <c r="L11" s="901">
        <v>1</v>
      </c>
      <c r="M11" s="901">
        <f>+K11+L11</f>
        <v>57.5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107178+7411</f>
        <v>114589</v>
      </c>
      <c r="C13" s="412">
        <v>0</v>
      </c>
      <c r="D13" s="412">
        <f>+B13+C13</f>
        <v>114589</v>
      </c>
      <c r="E13" s="412">
        <f>77007+5314</f>
        <v>82321</v>
      </c>
      <c r="F13" s="412">
        <v>0</v>
      </c>
      <c r="G13" s="412">
        <f>+E13+F13</f>
        <v>82321</v>
      </c>
      <c r="H13" s="412">
        <f>110426+8247</f>
        <v>118673</v>
      </c>
      <c r="I13" s="412">
        <v>0</v>
      </c>
      <c r="J13" s="412">
        <f>+H13+I13</f>
        <v>118673</v>
      </c>
      <c r="K13" s="412">
        <f>138750+8201</f>
        <v>146951</v>
      </c>
      <c r="L13" s="412">
        <v>0</v>
      </c>
      <c r="M13" s="412">
        <f>+K13+L13</f>
        <v>146951</v>
      </c>
    </row>
    <row r="14" spans="1:13" s="388" customFormat="1" ht="12.75">
      <c r="A14" s="629" t="s">
        <v>519</v>
      </c>
      <c r="B14" s="412">
        <f>34453+2136</f>
        <v>36589</v>
      </c>
      <c r="C14" s="412">
        <v>0</v>
      </c>
      <c r="D14" s="412">
        <f>+B14+C14</f>
        <v>36589</v>
      </c>
      <c r="E14" s="412">
        <f>24683+1550</f>
        <v>26233</v>
      </c>
      <c r="F14" s="412">
        <v>0</v>
      </c>
      <c r="G14" s="412">
        <f>+E14+F14</f>
        <v>26233</v>
      </c>
      <c r="H14" s="412">
        <f>35552+2500</f>
        <v>38052</v>
      </c>
      <c r="I14" s="412">
        <v>0</v>
      </c>
      <c r="J14" s="412">
        <f>+H14+I14</f>
        <v>38052</v>
      </c>
      <c r="K14" s="412">
        <f>44669+2458</f>
        <v>47127</v>
      </c>
      <c r="L14" s="412">
        <v>0</v>
      </c>
      <c r="M14" s="412">
        <f>+K14+L14</f>
        <v>47127</v>
      </c>
    </row>
    <row r="15" spans="1:13" s="388" customFormat="1" ht="12.75">
      <c r="A15" s="629" t="s">
        <v>520</v>
      </c>
      <c r="B15" s="412">
        <f>35469+3110</f>
        <v>38579</v>
      </c>
      <c r="C15" s="412">
        <v>223</v>
      </c>
      <c r="D15" s="412">
        <f>+B15+C15</f>
        <v>38802</v>
      </c>
      <c r="E15" s="412">
        <f>25521+2092</f>
        <v>27613</v>
      </c>
      <c r="F15" s="412">
        <v>522</v>
      </c>
      <c r="G15" s="412">
        <f>+E15+F15</f>
        <v>28135</v>
      </c>
      <c r="H15" s="412">
        <f>45000+3252</f>
        <v>48252</v>
      </c>
      <c r="I15" s="412">
        <v>462</v>
      </c>
      <c r="J15" s="412">
        <f>+H15+I15</f>
        <v>48714</v>
      </c>
      <c r="K15" s="412">
        <f>43513+4092</f>
        <v>47605</v>
      </c>
      <c r="L15" s="412">
        <v>1127</v>
      </c>
      <c r="M15" s="412">
        <f>+K15+L15</f>
        <v>48732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v>0</v>
      </c>
      <c r="F17" s="412"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v>0</v>
      </c>
      <c r="L17" s="412">
        <v>0</v>
      </c>
      <c r="M17" s="412">
        <f>+K17+L17</f>
        <v>0</v>
      </c>
    </row>
    <row r="18" spans="1:13" s="902" customFormat="1" ht="12.75">
      <c r="A18" s="630" t="s">
        <v>522</v>
      </c>
      <c r="B18" s="399">
        <f aca="true" t="shared" si="0" ref="B18:M18">SUM(B13:B17)</f>
        <v>189757</v>
      </c>
      <c r="C18" s="399">
        <f t="shared" si="0"/>
        <v>223</v>
      </c>
      <c r="D18" s="399">
        <f t="shared" si="0"/>
        <v>189980</v>
      </c>
      <c r="E18" s="399">
        <f t="shared" si="0"/>
        <v>136167</v>
      </c>
      <c r="F18" s="399">
        <f t="shared" si="0"/>
        <v>522</v>
      </c>
      <c r="G18" s="399">
        <f t="shared" si="0"/>
        <v>136689</v>
      </c>
      <c r="H18" s="399">
        <f t="shared" si="0"/>
        <v>204977</v>
      </c>
      <c r="I18" s="399">
        <f t="shared" si="0"/>
        <v>462</v>
      </c>
      <c r="J18" s="399">
        <f t="shared" si="0"/>
        <v>205439</v>
      </c>
      <c r="K18" s="399">
        <f t="shared" si="0"/>
        <v>241683</v>
      </c>
      <c r="L18" s="399">
        <f t="shared" si="0"/>
        <v>1127</v>
      </c>
      <c r="M18" s="399">
        <f t="shared" si="0"/>
        <v>242810</v>
      </c>
    </row>
    <row r="19" spans="1:13" s="388" customFormat="1" ht="12.75">
      <c r="A19" s="629" t="s">
        <v>171</v>
      </c>
      <c r="B19" s="412">
        <f>960+36000</f>
        <v>36960</v>
      </c>
      <c r="C19" s="412">
        <v>-2668</v>
      </c>
      <c r="D19" s="412">
        <f>+B19+C19</f>
        <v>34292</v>
      </c>
      <c r="E19" s="412">
        <v>6440</v>
      </c>
      <c r="F19" s="412">
        <v>-501</v>
      </c>
      <c r="G19" s="412">
        <f>+E19+F19</f>
        <v>5939</v>
      </c>
      <c r="H19" s="412">
        <f>12000+1700</f>
        <v>13700</v>
      </c>
      <c r="I19" s="412">
        <v>-136</v>
      </c>
      <c r="J19" s="412">
        <f>+H19+I19</f>
        <v>13564</v>
      </c>
      <c r="K19" s="412">
        <v>48000</v>
      </c>
      <c r="L19" s="412">
        <v>992</v>
      </c>
      <c r="M19" s="412">
        <f>+K19+L19</f>
        <v>48992</v>
      </c>
    </row>
    <row r="20" spans="1:13" s="388" customFormat="1" ht="12.75">
      <c r="A20" s="629" t="s">
        <v>172</v>
      </c>
      <c r="B20" s="412">
        <v>408</v>
      </c>
      <c r="C20" s="412">
        <v>200</v>
      </c>
      <c r="D20" s="412">
        <f>+B20+C20</f>
        <v>608</v>
      </c>
      <c r="E20" s="412">
        <f>187+167</f>
        <v>354</v>
      </c>
      <c r="F20" s="412">
        <v>0</v>
      </c>
      <c r="G20" s="412">
        <f>+E20+F20</f>
        <v>354</v>
      </c>
      <c r="H20" s="412">
        <v>493</v>
      </c>
      <c r="I20" s="412">
        <v>0</v>
      </c>
      <c r="J20" s="412">
        <f>+H20+I20</f>
        <v>493</v>
      </c>
      <c r="K20" s="412">
        <f>461+150</f>
        <v>611</v>
      </c>
      <c r="L20" s="412">
        <v>0</v>
      </c>
      <c r="M20" s="412">
        <f>+K20+L20</f>
        <v>611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37368</v>
      </c>
      <c r="C22" s="399">
        <f t="shared" si="1"/>
        <v>-2468</v>
      </c>
      <c r="D22" s="399">
        <f t="shared" si="1"/>
        <v>34900</v>
      </c>
      <c r="E22" s="399">
        <f t="shared" si="1"/>
        <v>6794</v>
      </c>
      <c r="F22" s="399">
        <f t="shared" si="1"/>
        <v>-501</v>
      </c>
      <c r="G22" s="399">
        <f t="shared" si="1"/>
        <v>6293</v>
      </c>
      <c r="H22" s="399">
        <f t="shared" si="1"/>
        <v>14193</v>
      </c>
      <c r="I22" s="399">
        <f t="shared" si="1"/>
        <v>-136</v>
      </c>
      <c r="J22" s="399">
        <f t="shared" si="1"/>
        <v>14057</v>
      </c>
      <c r="K22" s="399">
        <f t="shared" si="1"/>
        <v>48611</v>
      </c>
      <c r="L22" s="399">
        <f t="shared" si="1"/>
        <v>992</v>
      </c>
      <c r="M22" s="399">
        <f t="shared" si="1"/>
        <v>49603</v>
      </c>
    </row>
    <row r="23" spans="1:13" s="902" customFormat="1" ht="12.75">
      <c r="A23" s="903" t="s">
        <v>86</v>
      </c>
      <c r="B23" s="399">
        <f aca="true" t="shared" si="2" ref="B23:M23">SUM(B18+B22)</f>
        <v>227125</v>
      </c>
      <c r="C23" s="399">
        <f t="shared" si="2"/>
        <v>-2245</v>
      </c>
      <c r="D23" s="399">
        <f t="shared" si="2"/>
        <v>224880</v>
      </c>
      <c r="E23" s="399">
        <f t="shared" si="2"/>
        <v>142961</v>
      </c>
      <c r="F23" s="399">
        <f t="shared" si="2"/>
        <v>21</v>
      </c>
      <c r="G23" s="399">
        <f t="shared" si="2"/>
        <v>142982</v>
      </c>
      <c r="H23" s="399">
        <f t="shared" si="2"/>
        <v>219170</v>
      </c>
      <c r="I23" s="399">
        <f t="shared" si="2"/>
        <v>326</v>
      </c>
      <c r="J23" s="399">
        <f t="shared" si="2"/>
        <v>219496</v>
      </c>
      <c r="K23" s="399">
        <f t="shared" si="2"/>
        <v>290294</v>
      </c>
      <c r="L23" s="399">
        <f t="shared" si="2"/>
        <v>2119</v>
      </c>
      <c r="M23" s="399">
        <f t="shared" si="2"/>
        <v>292413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2.75">
      <c r="A25" s="438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>
        <v>0</v>
      </c>
      <c r="I25" s="412">
        <v>0</v>
      </c>
      <c r="J25" s="412">
        <f aca="true" t="shared" si="5" ref="J25:J33">+H25+I25</f>
        <v>0</v>
      </c>
      <c r="K25" s="412">
        <v>0</v>
      </c>
      <c r="L25" s="412">
        <v>0</v>
      </c>
      <c r="M25" s="412">
        <f aca="true" t="shared" si="6" ref="M25:M33">+K25+L25</f>
        <v>0</v>
      </c>
    </row>
    <row r="26" spans="1:13" s="388" customFormat="1" ht="24">
      <c r="A26" s="438" t="s">
        <v>492</v>
      </c>
      <c r="B26" s="412">
        <v>7497</v>
      </c>
      <c r="C26" s="412">
        <v>0</v>
      </c>
      <c r="D26" s="412">
        <f t="shared" si="3"/>
        <v>7497</v>
      </c>
      <c r="E26" s="412">
        <v>4791</v>
      </c>
      <c r="F26" s="412">
        <v>0</v>
      </c>
      <c r="G26" s="412">
        <f t="shared" si="4"/>
        <v>4791</v>
      </c>
      <c r="H26" s="412">
        <v>5472</v>
      </c>
      <c r="I26" s="412">
        <v>0</v>
      </c>
      <c r="J26" s="412">
        <f t="shared" si="5"/>
        <v>5472</v>
      </c>
      <c r="K26" s="412">
        <v>8950</v>
      </c>
      <c r="L26" s="412">
        <v>0</v>
      </c>
      <c r="M26" s="412">
        <f t="shared" si="6"/>
        <v>8950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v>0</v>
      </c>
      <c r="F27" s="412">
        <v>0</v>
      </c>
      <c r="G27" s="412">
        <f t="shared" si="4"/>
        <v>0</v>
      </c>
      <c r="H27" s="412">
        <v>0</v>
      </c>
      <c r="I27" s="412">
        <v>0</v>
      </c>
      <c r="J27" s="412">
        <f t="shared" si="5"/>
        <v>0</v>
      </c>
      <c r="K27" s="412">
        <v>0</v>
      </c>
      <c r="L27" s="412">
        <v>0</v>
      </c>
      <c r="M27" s="412">
        <f t="shared" si="6"/>
        <v>0</v>
      </c>
    </row>
    <row r="28" spans="1:13" s="388" customFormat="1" ht="12.75">
      <c r="A28" s="629" t="s">
        <v>164</v>
      </c>
      <c r="B28" s="412">
        <v>1079</v>
      </c>
      <c r="C28" s="412">
        <v>0</v>
      </c>
      <c r="D28" s="412">
        <f t="shared" si="3"/>
        <v>1079</v>
      </c>
      <c r="E28" s="412">
        <v>659</v>
      </c>
      <c r="F28" s="412">
        <v>0</v>
      </c>
      <c r="G28" s="412">
        <f t="shared" si="4"/>
        <v>659</v>
      </c>
      <c r="H28" s="412">
        <v>770</v>
      </c>
      <c r="I28" s="412">
        <v>0</v>
      </c>
      <c r="J28" s="412">
        <f t="shared" si="5"/>
        <v>770</v>
      </c>
      <c r="K28" s="412">
        <v>1216</v>
      </c>
      <c r="L28" s="412">
        <v>0</v>
      </c>
      <c r="M28" s="412">
        <f t="shared" si="6"/>
        <v>1216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4"/>
        <v>0</v>
      </c>
      <c r="H29" s="412">
        <v>0</v>
      </c>
      <c r="I29" s="412">
        <v>0</v>
      </c>
      <c r="J29" s="412">
        <f t="shared" si="5"/>
        <v>0</v>
      </c>
      <c r="K29" s="412">
        <v>0</v>
      </c>
      <c r="L29" s="412">
        <v>0</v>
      </c>
      <c r="M29" s="412">
        <f t="shared" si="6"/>
        <v>0</v>
      </c>
    </row>
    <row r="30" spans="1:13" s="388" customFormat="1" ht="22.5">
      <c r="A30" s="907" t="s">
        <v>165</v>
      </c>
      <c r="B30" s="412">
        <v>0</v>
      </c>
      <c r="C30" s="412">
        <v>0</v>
      </c>
      <c r="D30" s="412">
        <f t="shared" si="3"/>
        <v>0</v>
      </c>
      <c r="E30" s="412">
        <v>0</v>
      </c>
      <c r="F30" s="412">
        <v>0</v>
      </c>
      <c r="G30" s="412">
        <f t="shared" si="4"/>
        <v>0</v>
      </c>
      <c r="H30" s="412">
        <v>0</v>
      </c>
      <c r="I30" s="412">
        <v>0</v>
      </c>
      <c r="J30" s="412">
        <f t="shared" si="5"/>
        <v>0</v>
      </c>
      <c r="K30" s="412">
        <v>240</v>
      </c>
      <c r="L30" s="412">
        <v>0</v>
      </c>
      <c r="M30" s="412">
        <f t="shared" si="6"/>
        <v>240</v>
      </c>
    </row>
    <row r="31" spans="1:13" s="388" customFormat="1" ht="22.5">
      <c r="A31" s="908" t="s">
        <v>166</v>
      </c>
      <c r="B31" s="412">
        <v>0</v>
      </c>
      <c r="C31" s="412">
        <v>0</v>
      </c>
      <c r="D31" s="412">
        <f t="shared" si="3"/>
        <v>0</v>
      </c>
      <c r="E31" s="412">
        <v>0</v>
      </c>
      <c r="F31" s="412">
        <v>0</v>
      </c>
      <c r="G31" s="412">
        <f t="shared" si="4"/>
        <v>0</v>
      </c>
      <c r="H31" s="412">
        <v>0</v>
      </c>
      <c r="I31" s="412">
        <v>0</v>
      </c>
      <c r="J31" s="412">
        <f t="shared" si="5"/>
        <v>0</v>
      </c>
      <c r="K31" s="412">
        <v>0</v>
      </c>
      <c r="L31" s="412">
        <v>0</v>
      </c>
      <c r="M31" s="412">
        <f t="shared" si="6"/>
        <v>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>
        <v>0</v>
      </c>
      <c r="I32" s="412">
        <v>0</v>
      </c>
      <c r="J32" s="412">
        <f t="shared" si="5"/>
        <v>0</v>
      </c>
      <c r="K32" s="412">
        <v>0</v>
      </c>
      <c r="L32" s="412">
        <v>0</v>
      </c>
      <c r="M32" s="412">
        <f t="shared" si="6"/>
        <v>0</v>
      </c>
    </row>
    <row r="33" spans="1:13" s="388" customFormat="1" ht="12.75">
      <c r="A33" s="629" t="s">
        <v>168</v>
      </c>
      <c r="B33" s="412">
        <v>10753</v>
      </c>
      <c r="C33" s="412">
        <v>0</v>
      </c>
      <c r="D33" s="412">
        <f t="shared" si="3"/>
        <v>10753</v>
      </c>
      <c r="E33" s="412">
        <v>7421</v>
      </c>
      <c r="F33" s="412">
        <v>0</v>
      </c>
      <c r="G33" s="412">
        <f t="shared" si="4"/>
        <v>7421</v>
      </c>
      <c r="H33" s="412">
        <v>11224</v>
      </c>
      <c r="I33" s="412">
        <v>0</v>
      </c>
      <c r="J33" s="412">
        <f t="shared" si="5"/>
        <v>11224</v>
      </c>
      <c r="K33" s="412">
        <v>10267</v>
      </c>
      <c r="L33" s="412">
        <v>0</v>
      </c>
      <c r="M33" s="412">
        <f t="shared" si="6"/>
        <v>10267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207796</v>
      </c>
      <c r="C34" s="412">
        <f t="shared" si="7"/>
        <v>-2245</v>
      </c>
      <c r="D34" s="412">
        <f t="shared" si="7"/>
        <v>205551</v>
      </c>
      <c r="E34" s="412">
        <f t="shared" si="7"/>
        <v>130090</v>
      </c>
      <c r="F34" s="412">
        <f t="shared" si="7"/>
        <v>21</v>
      </c>
      <c r="G34" s="412">
        <f t="shared" si="7"/>
        <v>130111</v>
      </c>
      <c r="H34" s="412">
        <f t="shared" si="7"/>
        <v>201704</v>
      </c>
      <c r="I34" s="412">
        <f t="shared" si="7"/>
        <v>326</v>
      </c>
      <c r="J34" s="412">
        <f t="shared" si="7"/>
        <v>202030</v>
      </c>
      <c r="K34" s="412">
        <f t="shared" si="7"/>
        <v>269621</v>
      </c>
      <c r="L34" s="412">
        <f t="shared" si="7"/>
        <v>2119</v>
      </c>
      <c r="M34" s="412">
        <f t="shared" si="7"/>
        <v>271740</v>
      </c>
    </row>
    <row r="35" spans="1:13" ht="12.75">
      <c r="A35" s="909" t="s">
        <v>211</v>
      </c>
      <c r="B35" s="66">
        <v>88975</v>
      </c>
      <c r="C35" s="66">
        <f>88956-B35+C36</f>
        <v>367</v>
      </c>
      <c r="D35" s="66">
        <f>+B35+C35</f>
        <v>89342</v>
      </c>
      <c r="E35" s="66">
        <v>40806</v>
      </c>
      <c r="F35" s="66">
        <f>40758-E35+F36</f>
        <v>163</v>
      </c>
      <c r="G35" s="66">
        <f>+E35+F35</f>
        <v>40969</v>
      </c>
      <c r="H35" s="66">
        <v>78051</v>
      </c>
      <c r="I35" s="66">
        <f>77947-H35+I36</f>
        <v>282</v>
      </c>
      <c r="J35" s="66">
        <f>+H35+I35</f>
        <v>78333</v>
      </c>
      <c r="K35" s="66">
        <v>108494</v>
      </c>
      <c r="L35" s="66">
        <f>108455-K35+L36</f>
        <v>417</v>
      </c>
      <c r="M35" s="66">
        <f>+K35+L35</f>
        <v>108911</v>
      </c>
    </row>
    <row r="36" spans="1:13" ht="22.5">
      <c r="A36" s="905" t="s">
        <v>686</v>
      </c>
      <c r="B36" s="66"/>
      <c r="C36" s="66">
        <v>386</v>
      </c>
      <c r="D36" s="66">
        <f>+B36+C36</f>
        <v>386</v>
      </c>
      <c r="E36" s="66"/>
      <c r="F36" s="66">
        <v>211</v>
      </c>
      <c r="G36" s="66">
        <f>+E36+F36</f>
        <v>211</v>
      </c>
      <c r="H36" s="66"/>
      <c r="I36" s="66">
        <v>386</v>
      </c>
      <c r="J36" s="66">
        <f>+H36+I36</f>
        <v>386</v>
      </c>
      <c r="K36" s="66"/>
      <c r="L36" s="66">
        <v>456</v>
      </c>
      <c r="M36" s="66">
        <f>+K36+L36</f>
        <v>456</v>
      </c>
    </row>
    <row r="37" spans="1:13" s="177" customFormat="1" ht="12.75">
      <c r="A37" s="906" t="s">
        <v>88</v>
      </c>
      <c r="B37" s="67">
        <f aca="true" t="shared" si="8" ref="B37:M37">SUM(B25:B34)</f>
        <v>227125</v>
      </c>
      <c r="C37" s="67">
        <f t="shared" si="8"/>
        <v>-2245</v>
      </c>
      <c r="D37" s="67">
        <f t="shared" si="8"/>
        <v>224880</v>
      </c>
      <c r="E37" s="67">
        <f t="shared" si="8"/>
        <v>142961</v>
      </c>
      <c r="F37" s="67">
        <f t="shared" si="8"/>
        <v>21</v>
      </c>
      <c r="G37" s="67">
        <f t="shared" si="8"/>
        <v>142982</v>
      </c>
      <c r="H37" s="67">
        <f t="shared" si="8"/>
        <v>219170</v>
      </c>
      <c r="I37" s="67">
        <f t="shared" si="8"/>
        <v>326</v>
      </c>
      <c r="J37" s="67">
        <f t="shared" si="8"/>
        <v>219496</v>
      </c>
      <c r="K37" s="67">
        <f t="shared" si="8"/>
        <v>290294</v>
      </c>
      <c r="L37" s="67">
        <f t="shared" si="8"/>
        <v>2119</v>
      </c>
      <c r="M37" s="67">
        <f t="shared" si="8"/>
        <v>292413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Roman,Normál"8&amp;R&amp;"Times New Roman,Normál"6/a. számú melléklet&amp;"MS Sans Serif,Normál"
</oddHeader>
    <oddFooter>&amp;L&amp;"Times New Roman,Normál"&amp;8&amp;F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37.140625" style="26" customWidth="1"/>
    <col min="2" max="2" width="10.140625" style="26" customWidth="1"/>
    <col min="3" max="3" width="7.7109375" style="26" customWidth="1"/>
    <col min="4" max="4" width="9.421875" style="26" bestFit="1" customWidth="1"/>
    <col min="5" max="5" width="10.28125" style="26" customWidth="1"/>
    <col min="6" max="6" width="7.57421875" style="26" customWidth="1"/>
    <col min="7" max="7" width="9.421875" style="26" bestFit="1" customWidth="1"/>
    <col min="8" max="8" width="10.00390625" style="26" customWidth="1"/>
    <col min="9" max="9" width="7.57421875" style="26" customWidth="1"/>
    <col min="10" max="10" width="9.421875" style="26" bestFit="1" customWidth="1"/>
    <col min="11" max="11" width="10.28125" style="26" customWidth="1"/>
    <col min="12" max="12" width="7.42187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33</v>
      </c>
      <c r="C4" s="168"/>
      <c r="D4" s="119"/>
      <c r="E4" s="894">
        <v>34</v>
      </c>
      <c r="F4" s="168"/>
      <c r="G4" s="119"/>
      <c r="H4" s="894">
        <v>35</v>
      </c>
      <c r="I4" s="168"/>
      <c r="J4" s="119"/>
      <c r="K4" s="894">
        <v>36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716</v>
      </c>
      <c r="C6" s="168"/>
      <c r="D6" s="119"/>
      <c r="E6" s="894" t="s">
        <v>717</v>
      </c>
      <c r="F6" s="168"/>
      <c r="G6" s="119"/>
      <c r="H6" s="894" t="s">
        <v>718</v>
      </c>
      <c r="I6" s="168"/>
      <c r="J6" s="119"/>
      <c r="K6" s="894" t="s">
        <v>719</v>
      </c>
      <c r="L6" s="168"/>
      <c r="M6" s="119"/>
    </row>
    <row r="7" spans="1:13" ht="12.75">
      <c r="A7" s="892" t="s">
        <v>145</v>
      </c>
      <c r="B7" s="894">
        <v>801214</v>
      </c>
      <c r="C7" s="168"/>
      <c r="D7" s="119"/>
      <c r="E7" s="894">
        <v>801214</v>
      </c>
      <c r="F7" s="168"/>
      <c r="G7" s="119"/>
      <c r="H7" s="894">
        <v>801214</v>
      </c>
      <c r="I7" s="168"/>
      <c r="J7" s="119"/>
      <c r="K7" s="894">
        <v>801214</v>
      </c>
      <c r="L7" s="168"/>
      <c r="M7" s="119"/>
    </row>
    <row r="8" spans="1:13" ht="12.75">
      <c r="A8" s="896" t="s">
        <v>146</v>
      </c>
      <c r="B8" s="897" t="s">
        <v>147</v>
      </c>
      <c r="C8" s="172"/>
      <c r="D8" s="173"/>
      <c r="E8" s="897"/>
      <c r="F8" s="172"/>
      <c r="G8" s="173"/>
      <c r="H8" s="897"/>
      <c r="I8" s="172"/>
      <c r="J8" s="173"/>
      <c r="K8" s="897"/>
      <c r="L8" s="172"/>
      <c r="M8" s="173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12.75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47.5</v>
      </c>
      <c r="C11" s="901"/>
      <c r="D11" s="901">
        <f>+B11+C11</f>
        <v>47.5</v>
      </c>
      <c r="E11" s="901">
        <v>82</v>
      </c>
      <c r="F11" s="901">
        <v>-1</v>
      </c>
      <c r="G11" s="901">
        <f>+E11+F11</f>
        <v>81</v>
      </c>
      <c r="H11" s="901">
        <v>64.5</v>
      </c>
      <c r="I11" s="901"/>
      <c r="J11" s="901">
        <f>+H11+I11</f>
        <v>64.5</v>
      </c>
      <c r="K11" s="901">
        <v>99</v>
      </c>
      <c r="L11" s="901">
        <v>-2</v>
      </c>
      <c r="M11" s="901">
        <f>+K11+L11</f>
        <v>97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399"/>
      <c r="L12" s="399"/>
      <c r="M12" s="901"/>
    </row>
    <row r="13" spans="1:13" s="388" customFormat="1" ht="12.75">
      <c r="A13" s="629" t="s">
        <v>151</v>
      </c>
      <c r="B13" s="412">
        <f>111744+7630</f>
        <v>119374</v>
      </c>
      <c r="C13" s="412">
        <v>0</v>
      </c>
      <c r="D13" s="412">
        <f>+B13+C13</f>
        <v>119374</v>
      </c>
      <c r="E13" s="412">
        <f>198209+11039</f>
        <v>209248</v>
      </c>
      <c r="F13" s="412">
        <v>0</v>
      </c>
      <c r="G13" s="412">
        <f>+E13+F13</f>
        <v>209248</v>
      </c>
      <c r="H13" s="412">
        <f>182170+7343</f>
        <v>189513</v>
      </c>
      <c r="I13" s="412">
        <v>0</v>
      </c>
      <c r="J13" s="412">
        <f>+H13+I13</f>
        <v>189513</v>
      </c>
      <c r="K13" s="412">
        <f>237477+18949</f>
        <v>256426</v>
      </c>
      <c r="L13" s="412">
        <v>0</v>
      </c>
      <c r="M13" s="412">
        <f>+K13+L13</f>
        <v>256426</v>
      </c>
    </row>
    <row r="14" spans="1:13" s="388" customFormat="1" ht="12.75">
      <c r="A14" s="629" t="s">
        <v>519</v>
      </c>
      <c r="B14" s="412">
        <f>35921+2193</f>
        <v>38114</v>
      </c>
      <c r="C14" s="412">
        <v>0</v>
      </c>
      <c r="D14" s="412">
        <f>+B14+C14</f>
        <v>38114</v>
      </c>
      <c r="E14" s="412">
        <f>63068+3263</f>
        <v>66331</v>
      </c>
      <c r="F14" s="412">
        <v>0</v>
      </c>
      <c r="G14" s="412">
        <f>+E14+F14</f>
        <v>66331</v>
      </c>
      <c r="H14" s="412">
        <f>58564+1982</f>
        <v>60546</v>
      </c>
      <c r="I14" s="412">
        <v>0</v>
      </c>
      <c r="J14" s="412">
        <f>+H14+I14</f>
        <v>60546</v>
      </c>
      <c r="K14" s="412">
        <f>76081+5430</f>
        <v>81511</v>
      </c>
      <c r="L14" s="412">
        <v>0</v>
      </c>
      <c r="M14" s="412">
        <f>+K14+L14</f>
        <v>81511</v>
      </c>
    </row>
    <row r="15" spans="1:13" s="388" customFormat="1" ht="12.75">
      <c r="A15" s="629" t="s">
        <v>520</v>
      </c>
      <c r="B15" s="412">
        <f>40635+1798</f>
        <v>42433</v>
      </c>
      <c r="C15" s="412">
        <v>521</v>
      </c>
      <c r="D15" s="412">
        <f>+B15+C15</f>
        <v>42954</v>
      </c>
      <c r="E15" s="412">
        <f>30738+2223</f>
        <v>32961</v>
      </c>
      <c r="F15" s="412">
        <v>322</v>
      </c>
      <c r="G15" s="412">
        <f>+E15+F15</f>
        <v>33283</v>
      </c>
      <c r="H15" s="412">
        <f>50181+5157</f>
        <v>55338</v>
      </c>
      <c r="I15" s="412">
        <v>-184</v>
      </c>
      <c r="J15" s="412">
        <f>+H15+I15</f>
        <v>55154</v>
      </c>
      <c r="K15" s="412">
        <f>39245+5443</f>
        <v>44688</v>
      </c>
      <c r="L15" s="412">
        <v>697</v>
      </c>
      <c r="M15" s="412">
        <f>+K15+L15</f>
        <v>45385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0</v>
      </c>
      <c r="G16" s="412">
        <f>+E16+F16</f>
        <v>0</v>
      </c>
      <c r="H16" s="412">
        <v>0</v>
      </c>
      <c r="I16" s="412">
        <v>0</v>
      </c>
      <c r="J16" s="412">
        <f>+H16+I16</f>
        <v>0</v>
      </c>
      <c r="K16" s="412">
        <v>0</v>
      </c>
      <c r="L16" s="412">
        <v>0</v>
      </c>
      <c r="M16" s="412">
        <f>+K16+L16</f>
        <v>0</v>
      </c>
    </row>
    <row r="17" spans="1:13" s="388" customFormat="1" ht="12.75">
      <c r="A17" s="629" t="s">
        <v>521</v>
      </c>
      <c r="B17" s="412">
        <v>0</v>
      </c>
      <c r="C17" s="412">
        <v>0</v>
      </c>
      <c r="D17" s="412">
        <f>+B17+C17</f>
        <v>0</v>
      </c>
      <c r="E17" s="412">
        <v>0</v>
      </c>
      <c r="F17" s="412">
        <v>0</v>
      </c>
      <c r="G17" s="412">
        <f>+E17+F17</f>
        <v>0</v>
      </c>
      <c r="H17" s="412">
        <v>0</v>
      </c>
      <c r="I17" s="412">
        <v>0</v>
      </c>
      <c r="J17" s="412">
        <f>+H17+I17</f>
        <v>0</v>
      </c>
      <c r="K17" s="412">
        <v>200</v>
      </c>
      <c r="L17" s="412">
        <v>0</v>
      </c>
      <c r="M17" s="412">
        <f>+K17+L17</f>
        <v>200</v>
      </c>
    </row>
    <row r="18" spans="1:13" s="902" customFormat="1" ht="12.75">
      <c r="A18" s="630" t="s">
        <v>522</v>
      </c>
      <c r="B18" s="399">
        <f aca="true" t="shared" si="0" ref="B18:M18">SUM(B13:B17)</f>
        <v>199921</v>
      </c>
      <c r="C18" s="399">
        <f t="shared" si="0"/>
        <v>521</v>
      </c>
      <c r="D18" s="399">
        <f t="shared" si="0"/>
        <v>200442</v>
      </c>
      <c r="E18" s="399">
        <f t="shared" si="0"/>
        <v>308540</v>
      </c>
      <c r="F18" s="399">
        <f t="shared" si="0"/>
        <v>322</v>
      </c>
      <c r="G18" s="399">
        <f t="shared" si="0"/>
        <v>308862</v>
      </c>
      <c r="H18" s="399">
        <f t="shared" si="0"/>
        <v>305397</v>
      </c>
      <c r="I18" s="399">
        <f t="shared" si="0"/>
        <v>-184</v>
      </c>
      <c r="J18" s="399">
        <f t="shared" si="0"/>
        <v>305213</v>
      </c>
      <c r="K18" s="399">
        <f t="shared" si="0"/>
        <v>382825</v>
      </c>
      <c r="L18" s="399">
        <f t="shared" si="0"/>
        <v>697</v>
      </c>
      <c r="M18" s="399">
        <f t="shared" si="0"/>
        <v>383522</v>
      </c>
    </row>
    <row r="19" spans="1:13" s="388" customFormat="1" ht="12.75">
      <c r="A19" s="629" t="s">
        <v>171</v>
      </c>
      <c r="B19" s="412">
        <v>4640</v>
      </c>
      <c r="C19" s="412">
        <v>1100</v>
      </c>
      <c r="D19" s="412">
        <f>+B19+C19</f>
        <v>5740</v>
      </c>
      <c r="E19" s="412">
        <v>0</v>
      </c>
      <c r="F19" s="412">
        <v>0</v>
      </c>
      <c r="G19" s="412">
        <f>+E19+F19</f>
        <v>0</v>
      </c>
      <c r="H19" s="412">
        <f>13378+2000</f>
        <v>15378</v>
      </c>
      <c r="I19" s="412">
        <v>864</v>
      </c>
      <c r="J19" s="412">
        <f>+H19+I19</f>
        <v>16242</v>
      </c>
      <c r="K19" s="412">
        <v>19200</v>
      </c>
      <c r="L19" s="412">
        <v>-12000</v>
      </c>
      <c r="M19" s="412">
        <f>+K19+L19</f>
        <v>7200</v>
      </c>
    </row>
    <row r="20" spans="1:13" s="388" customFormat="1" ht="12.75">
      <c r="A20" s="629" t="s">
        <v>172</v>
      </c>
      <c r="B20" s="412">
        <v>407</v>
      </c>
      <c r="C20" s="412">
        <v>0</v>
      </c>
      <c r="D20" s="412">
        <f>+B20+C20</f>
        <v>407</v>
      </c>
      <c r="E20" s="412">
        <v>0</v>
      </c>
      <c r="F20" s="412">
        <v>0</v>
      </c>
      <c r="G20" s="412">
        <f>+E20+F20</f>
        <v>0</v>
      </c>
      <c r="H20" s="412">
        <f>1000+1324</f>
        <v>2324</v>
      </c>
      <c r="I20" s="412">
        <v>0</v>
      </c>
      <c r="J20" s="412">
        <f>+H20+I20</f>
        <v>2324</v>
      </c>
      <c r="K20" s="412">
        <f>1199+2000</f>
        <v>3199</v>
      </c>
      <c r="L20" s="412">
        <v>0</v>
      </c>
      <c r="M20" s="412">
        <f>+K20+L20</f>
        <v>3199</v>
      </c>
    </row>
    <row r="21" spans="1:13" s="388" customFormat="1" ht="24">
      <c r="A21" s="438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0</v>
      </c>
      <c r="G21" s="412">
        <f>+E21+F21</f>
        <v>0</v>
      </c>
      <c r="H21" s="412">
        <v>0</v>
      </c>
      <c r="I21" s="412">
        <v>0</v>
      </c>
      <c r="J21" s="412">
        <f>+H21+I21</f>
        <v>0</v>
      </c>
      <c r="K21" s="412">
        <v>0</v>
      </c>
      <c r="L21" s="412">
        <v>0</v>
      </c>
      <c r="M21" s="412">
        <f>+K21+L21</f>
        <v>0</v>
      </c>
    </row>
    <row r="22" spans="1:13" s="902" customFormat="1" ht="12.75">
      <c r="A22" s="630" t="s">
        <v>85</v>
      </c>
      <c r="B22" s="399">
        <f aca="true" t="shared" si="1" ref="B22:M22">SUM(B19:B21)</f>
        <v>5047</v>
      </c>
      <c r="C22" s="399">
        <f t="shared" si="1"/>
        <v>1100</v>
      </c>
      <c r="D22" s="399">
        <f t="shared" si="1"/>
        <v>6147</v>
      </c>
      <c r="E22" s="399">
        <f t="shared" si="1"/>
        <v>0</v>
      </c>
      <c r="F22" s="399">
        <f t="shared" si="1"/>
        <v>0</v>
      </c>
      <c r="G22" s="399">
        <f t="shared" si="1"/>
        <v>0</v>
      </c>
      <c r="H22" s="399">
        <f t="shared" si="1"/>
        <v>17702</v>
      </c>
      <c r="I22" s="399">
        <f t="shared" si="1"/>
        <v>864</v>
      </c>
      <c r="J22" s="399">
        <f t="shared" si="1"/>
        <v>18566</v>
      </c>
      <c r="K22" s="399">
        <f t="shared" si="1"/>
        <v>22399</v>
      </c>
      <c r="L22" s="399">
        <f t="shared" si="1"/>
        <v>-12000</v>
      </c>
      <c r="M22" s="399">
        <f t="shared" si="1"/>
        <v>10399</v>
      </c>
    </row>
    <row r="23" spans="1:13" s="902" customFormat="1" ht="12.75">
      <c r="A23" s="903" t="s">
        <v>86</v>
      </c>
      <c r="B23" s="399">
        <f aca="true" t="shared" si="2" ref="B23:M23">SUM(B18+B22)</f>
        <v>204968</v>
      </c>
      <c r="C23" s="399">
        <f t="shared" si="2"/>
        <v>1621</v>
      </c>
      <c r="D23" s="399">
        <f t="shared" si="2"/>
        <v>206589</v>
      </c>
      <c r="E23" s="399">
        <f t="shared" si="2"/>
        <v>308540</v>
      </c>
      <c r="F23" s="399">
        <f t="shared" si="2"/>
        <v>322</v>
      </c>
      <c r="G23" s="399">
        <f t="shared" si="2"/>
        <v>308862</v>
      </c>
      <c r="H23" s="399">
        <f t="shared" si="2"/>
        <v>323099</v>
      </c>
      <c r="I23" s="399">
        <f t="shared" si="2"/>
        <v>680</v>
      </c>
      <c r="J23" s="399">
        <f t="shared" si="2"/>
        <v>323779</v>
      </c>
      <c r="K23" s="399">
        <f t="shared" si="2"/>
        <v>405224</v>
      </c>
      <c r="L23" s="399">
        <f t="shared" si="2"/>
        <v>-11303</v>
      </c>
      <c r="M23" s="399">
        <f t="shared" si="2"/>
        <v>393921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12.75">
      <c r="A25" s="907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>
        <v>0</v>
      </c>
      <c r="I25" s="412">
        <v>0</v>
      </c>
      <c r="J25" s="412">
        <f aca="true" t="shared" si="5" ref="J25:J33">+H25+I25</f>
        <v>0</v>
      </c>
      <c r="K25" s="412">
        <v>0</v>
      </c>
      <c r="L25" s="412">
        <v>0</v>
      </c>
      <c r="M25" s="412">
        <f aca="true" t="shared" si="6" ref="M25:M33">+K25+L25</f>
        <v>0</v>
      </c>
    </row>
    <row r="26" spans="1:13" s="388" customFormat="1" ht="11.25" customHeight="1">
      <c r="A26" s="907" t="s">
        <v>492</v>
      </c>
      <c r="B26" s="412">
        <v>7265</v>
      </c>
      <c r="C26" s="412">
        <v>0</v>
      </c>
      <c r="D26" s="412">
        <f t="shared" si="3"/>
        <v>7265</v>
      </c>
      <c r="E26" s="412">
        <v>3052</v>
      </c>
      <c r="F26" s="412">
        <v>0</v>
      </c>
      <c r="G26" s="412">
        <f t="shared" si="4"/>
        <v>3052</v>
      </c>
      <c r="H26" s="412">
        <v>8685</v>
      </c>
      <c r="I26" s="412">
        <v>0</v>
      </c>
      <c r="J26" s="412">
        <f t="shared" si="5"/>
        <v>8685</v>
      </c>
      <c r="K26" s="412">
        <v>882</v>
      </c>
      <c r="L26" s="412">
        <v>0</v>
      </c>
      <c r="M26" s="412">
        <f t="shared" si="6"/>
        <v>882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v>0</v>
      </c>
      <c r="F27" s="412">
        <v>0</v>
      </c>
      <c r="G27" s="412">
        <f t="shared" si="4"/>
        <v>0</v>
      </c>
      <c r="H27" s="412">
        <v>0</v>
      </c>
      <c r="I27" s="412">
        <v>0</v>
      </c>
      <c r="J27" s="412">
        <f t="shared" si="5"/>
        <v>0</v>
      </c>
      <c r="K27" s="412">
        <v>1862</v>
      </c>
      <c r="L27" s="412">
        <v>0</v>
      </c>
      <c r="M27" s="412">
        <f t="shared" si="6"/>
        <v>1862</v>
      </c>
    </row>
    <row r="28" spans="1:13" s="388" customFormat="1" ht="12.75">
      <c r="A28" s="629" t="s">
        <v>164</v>
      </c>
      <c r="B28" s="412">
        <v>1090</v>
      </c>
      <c r="C28" s="412">
        <v>0</v>
      </c>
      <c r="D28" s="412">
        <f t="shared" si="3"/>
        <v>1090</v>
      </c>
      <c r="E28" s="412">
        <v>458</v>
      </c>
      <c r="F28" s="412">
        <v>0</v>
      </c>
      <c r="G28" s="412">
        <f t="shared" si="4"/>
        <v>458</v>
      </c>
      <c r="H28" s="412">
        <v>1019</v>
      </c>
      <c r="I28" s="412">
        <v>0</v>
      </c>
      <c r="J28" s="412">
        <f t="shared" si="5"/>
        <v>1019</v>
      </c>
      <c r="K28" s="412">
        <v>300</v>
      </c>
      <c r="L28" s="412">
        <v>0</v>
      </c>
      <c r="M28" s="412">
        <f t="shared" si="6"/>
        <v>300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0</v>
      </c>
      <c r="F29" s="412">
        <v>0</v>
      </c>
      <c r="G29" s="412">
        <f t="shared" si="4"/>
        <v>0</v>
      </c>
      <c r="H29" s="412">
        <v>0</v>
      </c>
      <c r="I29" s="412">
        <v>0</v>
      </c>
      <c r="J29" s="412">
        <f t="shared" si="5"/>
        <v>0</v>
      </c>
      <c r="K29" s="412">
        <v>0</v>
      </c>
      <c r="L29" s="412">
        <v>0</v>
      </c>
      <c r="M29" s="412">
        <f t="shared" si="6"/>
        <v>0</v>
      </c>
    </row>
    <row r="30" spans="1:13" s="388" customFormat="1" ht="24">
      <c r="A30" s="438" t="s">
        <v>165</v>
      </c>
      <c r="B30" s="412">
        <v>150</v>
      </c>
      <c r="C30" s="412">
        <v>0</v>
      </c>
      <c r="D30" s="412">
        <f t="shared" si="3"/>
        <v>150</v>
      </c>
      <c r="E30" s="412">
        <v>110</v>
      </c>
      <c r="F30" s="412">
        <v>0</v>
      </c>
      <c r="G30" s="412">
        <f t="shared" si="4"/>
        <v>110</v>
      </c>
      <c r="H30" s="412">
        <v>0</v>
      </c>
      <c r="I30" s="412">
        <v>0</v>
      </c>
      <c r="J30" s="412">
        <f t="shared" si="5"/>
        <v>0</v>
      </c>
      <c r="K30" s="412">
        <f>70+250</f>
        <v>320</v>
      </c>
      <c r="L30" s="412">
        <v>0</v>
      </c>
      <c r="M30" s="412">
        <f t="shared" si="6"/>
        <v>320</v>
      </c>
    </row>
    <row r="31" spans="1:13" s="388" customFormat="1" ht="24">
      <c r="A31" s="707" t="s">
        <v>166</v>
      </c>
      <c r="B31" s="412">
        <v>0</v>
      </c>
      <c r="C31" s="412">
        <v>0</v>
      </c>
      <c r="D31" s="412">
        <f t="shared" si="3"/>
        <v>0</v>
      </c>
      <c r="E31" s="412">
        <v>0</v>
      </c>
      <c r="F31" s="412">
        <v>0</v>
      </c>
      <c r="G31" s="412">
        <f t="shared" si="4"/>
        <v>0</v>
      </c>
      <c r="H31" s="412">
        <v>0</v>
      </c>
      <c r="I31" s="412">
        <v>0</v>
      </c>
      <c r="J31" s="412">
        <f t="shared" si="5"/>
        <v>0</v>
      </c>
      <c r="K31" s="412">
        <v>2000</v>
      </c>
      <c r="L31" s="412">
        <v>0</v>
      </c>
      <c r="M31" s="412">
        <f t="shared" si="6"/>
        <v>2000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>
        <v>0</v>
      </c>
      <c r="I32" s="412">
        <v>0</v>
      </c>
      <c r="J32" s="412">
        <f t="shared" si="5"/>
        <v>0</v>
      </c>
      <c r="K32" s="412">
        <v>0</v>
      </c>
      <c r="L32" s="412">
        <v>0</v>
      </c>
      <c r="M32" s="412">
        <f t="shared" si="6"/>
        <v>0</v>
      </c>
    </row>
    <row r="33" spans="1:13" s="388" customFormat="1" ht="12.75">
      <c r="A33" s="629" t="s">
        <v>168</v>
      </c>
      <c r="B33" s="412">
        <v>8521</v>
      </c>
      <c r="C33" s="412">
        <v>0</v>
      </c>
      <c r="D33" s="412">
        <f t="shared" si="3"/>
        <v>8521</v>
      </c>
      <c r="E33" s="412">
        <v>13590</v>
      </c>
      <c r="F33" s="412">
        <v>0</v>
      </c>
      <c r="G33" s="412">
        <f t="shared" si="4"/>
        <v>13590</v>
      </c>
      <c r="H33" s="412">
        <v>22246</v>
      </c>
      <c r="I33" s="412">
        <v>0</v>
      </c>
      <c r="J33" s="412">
        <f t="shared" si="5"/>
        <v>22246</v>
      </c>
      <c r="K33" s="412">
        <v>25041</v>
      </c>
      <c r="L33" s="412">
        <v>0</v>
      </c>
      <c r="M33" s="412">
        <f t="shared" si="6"/>
        <v>25041</v>
      </c>
    </row>
    <row r="34" spans="1:13" s="388" customFormat="1" ht="12.75">
      <c r="A34" s="629" t="s">
        <v>169</v>
      </c>
      <c r="B34" s="412">
        <f aca="true" t="shared" si="7" ref="B34:M34">+B23-B25-B26-B27-B28-B30-B31-B32-B33-B29</f>
        <v>187942</v>
      </c>
      <c r="C34" s="412">
        <f t="shared" si="7"/>
        <v>1621</v>
      </c>
      <c r="D34" s="412">
        <f t="shared" si="7"/>
        <v>189563</v>
      </c>
      <c r="E34" s="412">
        <f t="shared" si="7"/>
        <v>291330</v>
      </c>
      <c r="F34" s="412">
        <f t="shared" si="7"/>
        <v>322</v>
      </c>
      <c r="G34" s="412">
        <f t="shared" si="7"/>
        <v>291652</v>
      </c>
      <c r="H34" s="412">
        <f t="shared" si="7"/>
        <v>291149</v>
      </c>
      <c r="I34" s="412">
        <f t="shared" si="7"/>
        <v>680</v>
      </c>
      <c r="J34" s="412">
        <f t="shared" si="7"/>
        <v>291829</v>
      </c>
      <c r="K34" s="412">
        <f t="shared" si="7"/>
        <v>374819</v>
      </c>
      <c r="L34" s="412">
        <f t="shared" si="7"/>
        <v>-11303</v>
      </c>
      <c r="M34" s="412">
        <f t="shared" si="7"/>
        <v>363516</v>
      </c>
    </row>
    <row r="35" spans="1:13" ht="12.75">
      <c r="A35" s="909" t="s">
        <v>211</v>
      </c>
      <c r="B35" s="66">
        <v>85528</v>
      </c>
      <c r="C35" s="66">
        <f>85516-B35+C36</f>
        <v>362</v>
      </c>
      <c r="D35" s="66">
        <f>+B35+C35</f>
        <v>85890</v>
      </c>
      <c r="E35" s="66">
        <v>92491</v>
      </c>
      <c r="F35" s="66">
        <f>89671-E35+F36</f>
        <v>-2141</v>
      </c>
      <c r="G35" s="66">
        <f>+E35+F35</f>
        <v>90350</v>
      </c>
      <c r="H35" s="66">
        <v>159112</v>
      </c>
      <c r="I35" s="66">
        <f>159549-H35+I36</f>
        <v>1016</v>
      </c>
      <c r="J35" s="66">
        <f>+H35+I35</f>
        <v>160128</v>
      </c>
      <c r="K35" s="66">
        <v>215009</v>
      </c>
      <c r="L35" s="66">
        <f>215389-K35+L36</f>
        <v>1211</v>
      </c>
      <c r="M35" s="66">
        <f>+K35+L35</f>
        <v>216220</v>
      </c>
    </row>
    <row r="36" spans="1:13" ht="22.5">
      <c r="A36" s="905" t="s">
        <v>711</v>
      </c>
      <c r="B36" s="66"/>
      <c r="C36" s="66">
        <v>374</v>
      </c>
      <c r="D36" s="66">
        <f>+B36+C36</f>
        <v>374</v>
      </c>
      <c r="E36" s="66">
        <v>13260</v>
      </c>
      <c r="F36" s="66">
        <f>13939-E36</f>
        <v>679</v>
      </c>
      <c r="G36" s="66">
        <f>+E36+F36</f>
        <v>13939</v>
      </c>
      <c r="H36" s="66"/>
      <c r="I36" s="66">
        <v>579</v>
      </c>
      <c r="J36" s="66">
        <f>+H36+I36</f>
        <v>579</v>
      </c>
      <c r="K36" s="66"/>
      <c r="L36" s="66">
        <v>831</v>
      </c>
      <c r="M36" s="66">
        <f>+K36+L36</f>
        <v>831</v>
      </c>
    </row>
    <row r="37" spans="1:13" s="177" customFormat="1" ht="12.75">
      <c r="A37" s="906" t="s">
        <v>88</v>
      </c>
      <c r="B37" s="67">
        <f aca="true" t="shared" si="8" ref="B37:M37">SUM(B25:B34)</f>
        <v>204968</v>
      </c>
      <c r="C37" s="67">
        <f t="shared" si="8"/>
        <v>1621</v>
      </c>
      <c r="D37" s="67">
        <f t="shared" si="8"/>
        <v>206589</v>
      </c>
      <c r="E37" s="67">
        <f t="shared" si="8"/>
        <v>308540</v>
      </c>
      <c r="F37" s="67">
        <f t="shared" si="8"/>
        <v>322</v>
      </c>
      <c r="G37" s="67">
        <f t="shared" si="8"/>
        <v>308862</v>
      </c>
      <c r="H37" s="67">
        <f t="shared" si="8"/>
        <v>323099</v>
      </c>
      <c r="I37" s="67">
        <f t="shared" si="8"/>
        <v>680</v>
      </c>
      <c r="J37" s="67">
        <f t="shared" si="8"/>
        <v>323779</v>
      </c>
      <c r="K37" s="67">
        <f t="shared" si="8"/>
        <v>405224</v>
      </c>
      <c r="L37" s="67">
        <f t="shared" si="8"/>
        <v>-11303</v>
      </c>
      <c r="M37" s="67">
        <f t="shared" si="8"/>
        <v>393921</v>
      </c>
    </row>
  </sheetData>
  <printOptions horizontalCentered="1"/>
  <pageMargins left="0" right="0" top="0" bottom="0.3937007874015748" header="0" footer="0"/>
  <pageSetup horizontalDpi="300" verticalDpi="300" orientation="landscape" paperSize="9" r:id="rId1"/>
  <headerFooter alignWithMargins="0">
    <oddHeader>&amp;C&amp;"Times New Roman,Normál"9&amp;R&amp;"Times New Roman,Normál"6/a. számú melléklet&amp;"MS Sans Serif,Normál"
</oddHeader>
    <oddFooter>&amp;L&amp;"Times New Roman,Normál"&amp;8&amp;F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pane xSplit="1" ySplit="8" topLeftCell="B9" activePane="bottomRight" state="frozen"/>
      <selection pane="topLeft" activeCell="B9" sqref="B9:M9"/>
      <selection pane="topRight" activeCell="B9" sqref="B9:M9"/>
      <selection pane="bottomLeft" activeCell="B9" sqref="B9:M9"/>
      <selection pane="bottomRight" activeCell="B9" sqref="B9:M9"/>
    </sheetView>
  </sheetViews>
  <sheetFormatPr defaultColWidth="9.140625" defaultRowHeight="12.75"/>
  <cols>
    <col min="1" max="1" width="28.140625" style="26" customWidth="1"/>
    <col min="2" max="2" width="9.8515625" style="26" customWidth="1"/>
    <col min="3" max="3" width="7.57421875" style="26" customWidth="1"/>
    <col min="4" max="4" width="9.421875" style="26" bestFit="1" customWidth="1"/>
    <col min="5" max="5" width="9.8515625" style="26" customWidth="1"/>
    <col min="6" max="6" width="7.7109375" style="26" customWidth="1"/>
    <col min="7" max="7" width="9.421875" style="26" bestFit="1" customWidth="1"/>
    <col min="8" max="8" width="9.8515625" style="26" customWidth="1"/>
    <col min="9" max="9" width="7.421875" style="26" customWidth="1"/>
    <col min="10" max="10" width="9.421875" style="26" bestFit="1" customWidth="1"/>
    <col min="11" max="11" width="9.7109375" style="26" customWidth="1"/>
    <col min="12" max="12" width="7.421875" style="26" customWidth="1"/>
    <col min="13" max="13" width="9.421875" style="26" bestFit="1" customWidth="1"/>
  </cols>
  <sheetData>
    <row r="2" spans="1:13" ht="18.75">
      <c r="A2" s="36" t="s">
        <v>680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</row>
    <row r="3" spans="12:13" ht="12.75">
      <c r="L3" s="893" t="s">
        <v>524</v>
      </c>
      <c r="M3" s="893"/>
    </row>
    <row r="4" spans="1:13" ht="12.75">
      <c r="A4" s="892" t="s">
        <v>141</v>
      </c>
      <c r="B4" s="894">
        <v>37</v>
      </c>
      <c r="C4" s="168"/>
      <c r="D4" s="119"/>
      <c r="E4" s="894">
        <v>38</v>
      </c>
      <c r="F4" s="168"/>
      <c r="G4" s="119"/>
      <c r="H4" s="894">
        <v>39</v>
      </c>
      <c r="I4" s="168"/>
      <c r="J4" s="119"/>
      <c r="K4" s="894">
        <v>40</v>
      </c>
      <c r="L4" s="168"/>
      <c r="M4" s="119"/>
    </row>
    <row r="5" spans="1:13" ht="12.75">
      <c r="A5" s="892" t="s">
        <v>63</v>
      </c>
      <c r="B5" s="892"/>
      <c r="C5" s="169"/>
      <c r="D5" s="170"/>
      <c r="E5" s="892"/>
      <c r="F5" s="129"/>
      <c r="G5" s="171"/>
      <c r="H5" s="121"/>
      <c r="I5" s="129"/>
      <c r="J5" s="171"/>
      <c r="K5" s="121"/>
      <c r="L5" s="129"/>
      <c r="M5" s="171"/>
    </row>
    <row r="6" spans="1:13" ht="12.75">
      <c r="A6" s="892" t="s">
        <v>142</v>
      </c>
      <c r="B6" s="894" t="s">
        <v>720</v>
      </c>
      <c r="C6" s="168"/>
      <c r="D6" s="119"/>
      <c r="E6" s="926" t="s">
        <v>63</v>
      </c>
      <c r="F6" s="943"/>
      <c r="G6" s="927"/>
      <c r="H6" s="926"/>
      <c r="I6" s="943"/>
      <c r="J6" s="927"/>
      <c r="K6" s="910" t="s">
        <v>89</v>
      </c>
      <c r="L6" s="911"/>
      <c r="M6" s="912"/>
    </row>
    <row r="7" spans="1:13" ht="12.75">
      <c r="A7" s="892" t="s">
        <v>145</v>
      </c>
      <c r="B7" s="894">
        <v>853213</v>
      </c>
      <c r="C7" s="168"/>
      <c r="D7" s="119"/>
      <c r="E7" s="926">
        <v>751757</v>
      </c>
      <c r="F7" s="943"/>
      <c r="G7" s="927"/>
      <c r="H7" s="926"/>
      <c r="I7" s="943"/>
      <c r="J7" s="927"/>
      <c r="K7" s="894"/>
      <c r="L7" s="168"/>
      <c r="M7" s="119"/>
    </row>
    <row r="8" spans="1:13" ht="12.75">
      <c r="A8" s="896" t="s">
        <v>146</v>
      </c>
      <c r="B8" s="892" t="s">
        <v>147</v>
      </c>
      <c r="C8" s="169"/>
      <c r="D8" s="169"/>
      <c r="E8" s="926" t="s">
        <v>721</v>
      </c>
      <c r="F8" s="943"/>
      <c r="G8" s="927"/>
      <c r="H8" s="926"/>
      <c r="I8" s="943"/>
      <c r="J8" s="927"/>
      <c r="K8" s="926"/>
      <c r="L8" s="943"/>
      <c r="M8" s="927"/>
    </row>
    <row r="9" spans="1:13" s="176" customFormat="1" ht="42">
      <c r="A9" s="898" t="s">
        <v>148</v>
      </c>
      <c r="B9" s="899" t="s">
        <v>637</v>
      </c>
      <c r="C9" s="899" t="s">
        <v>597</v>
      </c>
      <c r="D9" s="899" t="s">
        <v>685</v>
      </c>
      <c r="E9" s="899" t="s">
        <v>637</v>
      </c>
      <c r="F9" s="899" t="s">
        <v>597</v>
      </c>
      <c r="G9" s="899" t="s">
        <v>685</v>
      </c>
      <c r="H9" s="899" t="s">
        <v>637</v>
      </c>
      <c r="I9" s="899" t="s">
        <v>597</v>
      </c>
      <c r="J9" s="899" t="s">
        <v>685</v>
      </c>
      <c r="K9" s="899" t="s">
        <v>637</v>
      </c>
      <c r="L9" s="899" t="s">
        <v>597</v>
      </c>
      <c r="M9" s="899" t="s">
        <v>685</v>
      </c>
    </row>
    <row r="10" spans="1:13" ht="9.75" customHeight="1">
      <c r="A10" s="334" t="s">
        <v>247</v>
      </c>
      <c r="B10" s="31" t="s">
        <v>248</v>
      </c>
      <c r="C10" s="30" t="s">
        <v>249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99</v>
      </c>
      <c r="I10" s="30" t="s">
        <v>100</v>
      </c>
      <c r="J10" s="30" t="s">
        <v>101</v>
      </c>
      <c r="K10" s="30" t="s">
        <v>102</v>
      </c>
      <c r="L10" s="30" t="s">
        <v>103</v>
      </c>
      <c r="M10" s="30" t="s">
        <v>104</v>
      </c>
    </row>
    <row r="11" spans="1:13" s="388" customFormat="1" ht="12.75">
      <c r="A11" s="629" t="s">
        <v>149</v>
      </c>
      <c r="B11" s="901">
        <v>124</v>
      </c>
      <c r="C11" s="901"/>
      <c r="D11" s="901">
        <f>+B11+C11</f>
        <v>124</v>
      </c>
      <c r="E11" s="901">
        <v>64</v>
      </c>
      <c r="F11" s="901"/>
      <c r="G11" s="901">
        <f>+E11+F11</f>
        <v>64</v>
      </c>
      <c r="H11" s="901"/>
      <c r="I11" s="901"/>
      <c r="J11" s="901"/>
      <c r="K11" s="913">
        <f>SUM('[1]Terv'!B11+'[1]Terv'!E11+'[1]Terv'!H11+'[1]Terv'!K11)+'6a.melléklet (2)'!B11+'6a.melléklet (2)'!E11+'6a.melléklet (2)'!H11+'6a.melléklet (2)'!K11+'6a.melléklet (3)'!B11+'6a.melléklet (3)'!E11+'6a.melléklet (3)'!H11+'6a.melléklet (3)'!K11+'6a.melléklet (4)'!B11+'6a.melléklet (4)'!E11+'6a.melléklet (4)'!H11+'6a.melléklet (4)'!K11+'6a.melléklet (5)'!B11+'6a.melléklet (5)'!E11+'6a.melléklet (5)'!H11+'6a.melléklet (5)'!K11+'6a.melléklet (6)'!B11+'6a.melléklet (6)'!E11+'6a.melléklet (6)'!H11+'6a.melléklet (6)'!K11+'6a.melléklet (7)'!B11+'6a.melléklet (7)'!E11+'6a.melléklet (7)'!H11+'6a.melléklet (7)'!K11+'6a.melléklet (8)'!B11+'6a.melléklet (8)'!E11+'6a.melléklet (8)'!H11+'6a.melléklet (8)'!K11+'6a.melléklet (9)'!B11+'6a.melléklet (9)'!E11+'6a.melléklet (9)'!H11+'6a.melléklet (9)'!K11+'6a.melléklet (10)'!B11+'6a.melléklet (10)'!E11</f>
        <v>1506</v>
      </c>
      <c r="L11" s="913">
        <f>SUM('[1]Terv'!C11+'[1]Terv'!F11+'[1]Terv'!I11+'[1]Terv'!L11)+'6a.melléklet (2)'!C11+'6a.melléklet (2)'!F11+'6a.melléklet (2)'!I11+'6a.melléklet (2)'!L11+'6a.melléklet (3)'!C11+'6a.melléklet (3)'!F11+'6a.melléklet (3)'!I11+'6a.melléklet (3)'!L11+'6a.melléklet (4)'!C11+'6a.melléklet (4)'!F11+'6a.melléklet (4)'!I11+'6a.melléklet (4)'!L11+'6a.melléklet (5)'!C11+'6a.melléklet (5)'!F11+'6a.melléklet (5)'!I11+'6a.melléklet (5)'!L11+'6a.melléklet (6)'!C11+'6a.melléklet (6)'!F11+'6a.melléklet (6)'!I11+'6a.melléklet (6)'!L11+'6a.melléklet (7)'!C11+'6a.melléklet (7)'!F11+'6a.melléklet (7)'!I11+'6a.melléklet (7)'!L11+'6a.melléklet (8)'!C11+'6a.melléklet (8)'!F11+'6a.melléklet (8)'!I11+'6a.melléklet (8)'!L11+'6a.melléklet (9)'!C11+'6a.melléklet (9)'!F11+'6a.melléklet (9)'!I11+'6a.melléklet (9)'!L11+'6a.melléklet (10)'!C11+'6a.melléklet (10)'!F11</f>
        <v>-6</v>
      </c>
      <c r="M11" s="913">
        <f>SUM('[1]Terv'!D11+'[1]Terv'!G11+'[1]Terv'!J11+'[1]Terv'!M11)+'6a.melléklet (2)'!D11+'6a.melléklet (2)'!G11+'6a.melléklet (2)'!J11+'6a.melléklet (2)'!M11+'6a.melléklet (3)'!D11+'6a.melléklet (3)'!G11+'6a.melléklet (3)'!J11+'6a.melléklet (3)'!M11+'6a.melléklet (4)'!D11+'6a.melléklet (4)'!G11+'6a.melléklet (4)'!J11+'6a.melléklet (4)'!M11+'6a.melléklet (5)'!D11+'6a.melléklet (5)'!G11+'6a.melléklet (5)'!J11+'6a.melléklet (5)'!M11+'6a.melléklet (6)'!D11+'6a.melléklet (6)'!G11+'6a.melléklet (6)'!J11+'6a.melléklet (6)'!M11+'6a.melléklet (7)'!D11+'6a.melléklet (7)'!G11+'6a.melléklet (7)'!J11+'6a.melléklet (7)'!M11+'6a.melléklet (8)'!D11+'6a.melléklet (8)'!G11+'6a.melléklet (8)'!J11+'6a.melléklet (8)'!M11+'6a.melléklet (9)'!D11+'6a.melléklet (9)'!G11+'6a.melléklet (9)'!J11+'6a.melléklet (9)'!M11+'6a.melléklet (10)'!D11+'6a.melléklet (10)'!G11</f>
        <v>1500</v>
      </c>
    </row>
    <row r="12" spans="1:13" s="902" customFormat="1" ht="12.75">
      <c r="A12" s="630" t="s">
        <v>150</v>
      </c>
      <c r="B12" s="399"/>
      <c r="C12" s="399"/>
      <c r="D12" s="901"/>
      <c r="E12" s="399"/>
      <c r="F12" s="399"/>
      <c r="G12" s="901"/>
      <c r="H12" s="399"/>
      <c r="I12" s="399"/>
      <c r="J12" s="901"/>
      <c r="K12" s="913"/>
      <c r="L12" s="399"/>
      <c r="M12" s="901"/>
    </row>
    <row r="13" spans="1:13" s="388" customFormat="1" ht="12.75">
      <c r="A13" s="629" t="s">
        <v>151</v>
      </c>
      <c r="B13" s="412">
        <f>189778+17377</f>
        <v>207155</v>
      </c>
      <c r="C13" s="412">
        <v>0</v>
      </c>
      <c r="D13" s="412">
        <f>+B13+C13</f>
        <v>207155</v>
      </c>
      <c r="E13" s="412">
        <f>146825+10435</f>
        <v>157260</v>
      </c>
      <c r="F13" s="412">
        <v>-48</v>
      </c>
      <c r="G13" s="412">
        <f>+E13+F13</f>
        <v>157212</v>
      </c>
      <c r="H13" s="412"/>
      <c r="I13" s="412"/>
      <c r="J13" s="412"/>
      <c r="K13" s="412">
        <f>SUM('[1]Terv'!B13+'[1]Terv'!E13+'[1]Terv'!H13+'[1]Terv'!K13)+'6a.melléklet (2)'!B13+'6a.melléklet (2)'!E13+'6a.melléklet (2)'!H13+'6a.melléklet (2)'!K13+'6a.melléklet (3)'!B13+'6a.melléklet (3)'!E13+'6a.melléklet (3)'!H13+'6a.melléklet (3)'!K13+'6a.melléklet (4)'!B13+'6a.melléklet (4)'!E13+'6a.melléklet (4)'!H13+'6a.melléklet (4)'!K13+'6a.melléklet (5)'!B13+'6a.melléklet (5)'!E13+'6a.melléklet (5)'!H13+'6a.melléklet (5)'!K13+'6a.melléklet (6)'!B13+'6a.melléklet (6)'!E13+'6a.melléklet (6)'!H13+'6a.melléklet (6)'!K13+'6a.melléklet (7)'!B13+'6a.melléklet (7)'!E13+'6a.melléklet (7)'!H13+'6a.melléklet (7)'!K13+'6a.melléklet (8)'!B13+'6a.melléklet (8)'!E13+'6a.melléklet (8)'!H13+'6a.melléklet (8)'!K13+'6a.melléklet (9)'!B13+'6a.melléklet (9)'!E13+'6a.melléklet (9)'!H13+'6a.melléklet (9)'!K13+'6a.melléklet (10)'!B13+'6a.melléklet (10)'!E13</f>
        <v>3631379</v>
      </c>
      <c r="L13" s="412">
        <f>SUM('[1]Terv'!C13+'[1]Terv'!F13+'[1]Terv'!I13+'[1]Terv'!L13)+'6a.melléklet (2)'!C13+'6a.melléklet (2)'!F13+'6a.melléklet (2)'!I13+'6a.melléklet (2)'!L13+'6a.melléklet (3)'!C13+'6a.melléklet (3)'!F13+'6a.melléklet (3)'!I13+'6a.melléklet (3)'!L13+'6a.melléklet (4)'!C13+'6a.melléklet (4)'!F13+'6a.melléklet (4)'!I13+'6a.melléklet (4)'!L13+'6a.melléklet (5)'!C13+'6a.melléklet (5)'!F13+'6a.melléklet (5)'!I13+'6a.melléklet (5)'!L13+'6a.melléklet (6)'!C13+'6a.melléklet (6)'!F13+'6a.melléklet (6)'!I13+'6a.melléklet (6)'!L13+'6a.melléklet (7)'!C13+'6a.melléklet (7)'!F13+'6a.melléklet (7)'!I13+'6a.melléklet (7)'!L13+'6a.melléklet (8)'!C13+'6a.melléklet (8)'!F13+'6a.melléklet (8)'!I13+'6a.melléklet (8)'!L13+'6a.melléklet (9)'!C13+'6a.melléklet (9)'!F13+'6a.melléklet (9)'!I13+'6a.melléklet (9)'!L13+'6a.melléklet (10)'!C13+'6a.melléklet (10)'!F13</f>
        <v>-1633</v>
      </c>
      <c r="M13" s="412">
        <f>SUM('[1]Terv'!D13+'[1]Terv'!G13+'[1]Terv'!J13+'[1]Terv'!M13)+'6a.melléklet (2)'!D13+'6a.melléklet (2)'!G13+'6a.melléklet (2)'!J13+'6a.melléklet (2)'!M13+'6a.melléklet (3)'!D13+'6a.melléklet (3)'!G13+'6a.melléklet (3)'!J13+'6a.melléklet (3)'!M13+'6a.melléklet (4)'!D13+'6a.melléklet (4)'!G13+'6a.melléklet (4)'!J13+'6a.melléklet (4)'!M13+'6a.melléklet (5)'!D13+'6a.melléklet (5)'!G13+'6a.melléklet (5)'!J13+'6a.melléklet (5)'!M13+'6a.melléklet (6)'!D13+'6a.melléklet (6)'!G13+'6a.melléklet (6)'!J13+'6a.melléklet (6)'!M13+'6a.melléklet (7)'!D13+'6a.melléklet (7)'!G13+'6a.melléklet (7)'!J13+'6a.melléklet (7)'!M13+'6a.melléklet (8)'!D13+'6a.melléklet (8)'!G13+'6a.melléklet (8)'!J13+'6a.melléklet (8)'!M13+'6a.melléklet (9)'!D13+'6a.melléklet (9)'!G13+'6a.melléklet (9)'!J13+'6a.melléklet (9)'!M13+'6a.melléklet (10)'!D13+'6a.melléklet (10)'!G13</f>
        <v>3629746</v>
      </c>
    </row>
    <row r="14" spans="1:13" s="388" customFormat="1" ht="12.75">
      <c r="A14" s="629" t="s">
        <v>519</v>
      </c>
      <c r="B14" s="412">
        <f>62708+5485</f>
        <v>68193</v>
      </c>
      <c r="C14" s="412">
        <v>0</v>
      </c>
      <c r="D14" s="412">
        <f>+B14+C14</f>
        <v>68193</v>
      </c>
      <c r="E14" s="412">
        <f>3397+44419</f>
        <v>47816</v>
      </c>
      <c r="F14" s="412">
        <v>10</v>
      </c>
      <c r="G14" s="412">
        <f>+E14+F14</f>
        <v>47826</v>
      </c>
      <c r="H14" s="412"/>
      <c r="I14" s="412"/>
      <c r="J14" s="412"/>
      <c r="K14" s="412">
        <f>SUM('[1]Terv'!B14+'[1]Terv'!E14+'[1]Terv'!H14+'[1]Terv'!K14)+'6a.melléklet (2)'!B14+'6a.melléklet (2)'!E14+'6a.melléklet (2)'!H14+'6a.melléklet (2)'!K14+'6a.melléklet (3)'!B14+'6a.melléklet (3)'!E14+'6a.melléklet (3)'!H14+'6a.melléklet (3)'!K14+'6a.melléklet (4)'!B14+'6a.melléklet (4)'!E14+'6a.melléklet (4)'!H14+'6a.melléklet (4)'!K14+'6a.melléklet (5)'!B14+'6a.melléklet (5)'!E14+'6a.melléklet (5)'!H14+'6a.melléklet (5)'!K14+'6a.melléklet (6)'!B14+'6a.melléklet (6)'!E14+'6a.melléklet (6)'!H14+'6a.melléklet (6)'!K14+'6a.melléklet (7)'!B14+'6a.melléklet (7)'!E14+'6a.melléklet (7)'!H14+'6a.melléklet (7)'!K14+'6a.melléklet (8)'!B14+'6a.melléklet (8)'!E14+'6a.melléklet (8)'!H14+'6a.melléklet (8)'!K14+'6a.melléklet (9)'!B14+'6a.melléklet (9)'!E14+'6a.melléklet (9)'!H14+'6a.melléklet (9)'!K14+'6a.melléklet (10)'!B14+'6a.melléklet (10)'!E14</f>
        <v>1157607</v>
      </c>
      <c r="L14" s="412">
        <f>SUM('[1]Terv'!C14+'[1]Terv'!F14+'[1]Terv'!I14+'[1]Terv'!L14)+'6a.melléklet (2)'!C14+'6a.melléklet (2)'!F14+'6a.melléklet (2)'!I14+'6a.melléklet (2)'!L14+'6a.melléklet (3)'!C14+'6a.melléklet (3)'!F14+'6a.melléklet (3)'!I14+'6a.melléklet (3)'!L14+'6a.melléklet (4)'!C14+'6a.melléklet (4)'!F14+'6a.melléklet (4)'!I14+'6a.melléklet (4)'!L14+'6a.melléklet (5)'!C14+'6a.melléklet (5)'!F14+'6a.melléklet (5)'!I14+'6a.melléklet (5)'!L14+'6a.melléklet (6)'!C14+'6a.melléklet (6)'!F14+'6a.melléklet (6)'!I14+'6a.melléklet (6)'!L14+'6a.melléklet (7)'!C14+'6a.melléklet (7)'!F14+'6a.melléklet (7)'!I14+'6a.melléklet (7)'!L14+'6a.melléklet (8)'!C14+'6a.melléklet (8)'!F14+'6a.melléklet (8)'!I14+'6a.melléklet (8)'!L14+'6a.melléklet (9)'!C14+'6a.melléklet (9)'!F14+'6a.melléklet (9)'!I14+'6a.melléklet (9)'!L14+'6a.melléklet (10)'!C14+'6a.melléklet (10)'!F14</f>
        <v>-299</v>
      </c>
      <c r="M14" s="412">
        <f>SUM('[1]Terv'!D14+'[1]Terv'!G14+'[1]Terv'!J14+'[1]Terv'!M14)+'6a.melléklet (2)'!D14+'6a.melléklet (2)'!G14+'6a.melléklet (2)'!J14+'6a.melléklet (2)'!M14+'6a.melléklet (3)'!D14+'6a.melléklet (3)'!G14+'6a.melléklet (3)'!J14+'6a.melléklet (3)'!M14+'6a.melléklet (4)'!D14+'6a.melléklet (4)'!G14+'6a.melléklet (4)'!J14+'6a.melléklet (4)'!M14+'6a.melléklet (5)'!D14+'6a.melléklet (5)'!G14+'6a.melléklet (5)'!J14+'6a.melléklet (5)'!M14+'6a.melléklet (6)'!D14+'6a.melléklet (6)'!G14+'6a.melléklet (6)'!J14+'6a.melléklet (6)'!M14+'6a.melléklet (7)'!D14+'6a.melléklet (7)'!G14+'6a.melléklet (7)'!J14+'6a.melléklet (7)'!M14+'6a.melléklet (8)'!D14+'6a.melléklet (8)'!G14+'6a.melléklet (8)'!J14+'6a.melléklet (8)'!M14+'6a.melléklet (9)'!D14+'6a.melléklet (9)'!G14+'6a.melléklet (9)'!J14+'6a.melléklet (9)'!M14+'6a.melléklet (10)'!D14+'6a.melléklet (10)'!G14</f>
        <v>1157308</v>
      </c>
    </row>
    <row r="15" spans="1:13" s="388" customFormat="1" ht="12.75">
      <c r="A15" s="629" t="s">
        <v>520</v>
      </c>
      <c r="B15" s="412">
        <f>75536+8084</f>
        <v>83620</v>
      </c>
      <c r="C15" s="412">
        <v>1336</v>
      </c>
      <c r="D15" s="412">
        <f>+B15+C15</f>
        <v>84956</v>
      </c>
      <c r="E15" s="412">
        <f>161569+192169</f>
        <v>353738</v>
      </c>
      <c r="F15" s="412">
        <f>-145980-19422</f>
        <v>-165402</v>
      </c>
      <c r="G15" s="412">
        <f>+E15+F15</f>
        <v>188336</v>
      </c>
      <c r="H15" s="412"/>
      <c r="I15" s="412"/>
      <c r="J15" s="412"/>
      <c r="K15" s="412">
        <f>SUM('[1]Terv'!B15+'[1]Terv'!E15+'[1]Terv'!H15+'[1]Terv'!K15)+'6a.melléklet (2)'!B15+'6a.melléklet (2)'!E15+'6a.melléklet (2)'!H15+'6a.melléklet (2)'!K15+'6a.melléklet (3)'!B15+'6a.melléklet (3)'!E15+'6a.melléklet (3)'!H15+'6a.melléklet (3)'!K15+'6a.melléklet (4)'!B15+'6a.melléklet (4)'!E15+'6a.melléklet (4)'!H15+'6a.melléklet (4)'!K15+'6a.melléklet (5)'!B15+'6a.melléklet (5)'!E15+'6a.melléklet (5)'!H15+'6a.melléklet (5)'!K15+'6a.melléklet (6)'!B15+'6a.melléklet (6)'!E15+'6a.melléklet (6)'!H15+'6a.melléklet (6)'!K15+'6a.melléklet (7)'!B15+'6a.melléklet (7)'!E15+'6a.melléklet (7)'!H15+'6a.melléklet (7)'!K15+'6a.melléklet (8)'!B15+'6a.melléklet (8)'!E15+'6a.melléklet (8)'!H15+'6a.melléklet (8)'!K15+'6a.melléklet (9)'!B15+'6a.melléklet (9)'!E15+'6a.melléklet (9)'!H15+'6a.melléklet (9)'!K15+'6a.melléklet (10)'!B15+'6a.melléklet (10)'!E15</f>
        <v>1520052</v>
      </c>
      <c r="L15" s="412">
        <f>SUM('[1]Terv'!C15+'[1]Terv'!F15+'[1]Terv'!I15+'[1]Terv'!L15)+'6a.melléklet (2)'!C15+'6a.melléklet (2)'!F15+'6a.melléklet (2)'!I15+'6a.melléklet (2)'!L15+'6a.melléklet (3)'!C15+'6a.melléklet (3)'!F15+'6a.melléklet (3)'!I15+'6a.melléklet (3)'!L15+'6a.melléklet (4)'!C15+'6a.melléklet (4)'!F15+'6a.melléklet (4)'!I15+'6a.melléklet (4)'!L15+'6a.melléklet (5)'!C15+'6a.melléklet (5)'!F15+'6a.melléklet (5)'!I15+'6a.melléklet (5)'!L15+'6a.melléklet (6)'!C15+'6a.melléklet (6)'!F15+'6a.melléklet (6)'!I15+'6a.melléklet (6)'!L15+'6a.melléklet (7)'!C15+'6a.melléklet (7)'!F15+'6a.melléklet (7)'!I15+'6a.melléklet (7)'!L15+'6a.melléklet (8)'!C15+'6a.melléklet (8)'!F15+'6a.melléklet (8)'!I15+'6a.melléklet (8)'!L15+'6a.melléklet (9)'!C15+'6a.melléklet (9)'!F15+'6a.melléklet (9)'!I15+'6a.melléklet (9)'!L15+'6a.melléklet (10)'!C15+'6a.melléklet (10)'!F15</f>
        <v>-157406</v>
      </c>
      <c r="M15" s="412">
        <f>SUM('[1]Terv'!D15+'[1]Terv'!G15+'[1]Terv'!J15+'[1]Terv'!M15)+'6a.melléklet (2)'!D15+'6a.melléklet (2)'!G15+'6a.melléklet (2)'!J15+'6a.melléklet (2)'!M15+'6a.melléklet (3)'!D15+'6a.melléklet (3)'!G15+'6a.melléklet (3)'!J15+'6a.melléklet (3)'!M15+'6a.melléklet (4)'!D15+'6a.melléklet (4)'!G15+'6a.melléklet (4)'!J15+'6a.melléklet (4)'!M15+'6a.melléklet (5)'!D15+'6a.melléklet (5)'!G15+'6a.melléklet (5)'!J15+'6a.melléklet (5)'!M15+'6a.melléklet (6)'!D15+'6a.melléklet (6)'!G15+'6a.melléklet (6)'!J15+'6a.melléklet (6)'!M15+'6a.melléklet (7)'!D15+'6a.melléklet (7)'!G15+'6a.melléklet (7)'!J15+'6a.melléklet (7)'!M15+'6a.melléklet (8)'!D15+'6a.melléklet (8)'!G15+'6a.melléklet (8)'!J15+'6a.melléklet (8)'!M15+'6a.melléklet (9)'!D15+'6a.melléklet (9)'!G15+'6a.melléklet (9)'!J15+'6a.melléklet (9)'!M15+'6a.melléklet (10)'!D15+'6a.melléklet (10)'!G15</f>
        <v>1362646</v>
      </c>
    </row>
    <row r="16" spans="1:13" s="388" customFormat="1" ht="22.5">
      <c r="A16" s="907" t="s">
        <v>490</v>
      </c>
      <c r="B16" s="412">
        <v>0</v>
      </c>
      <c r="C16" s="412">
        <v>0</v>
      </c>
      <c r="D16" s="412">
        <f>+B16+C16</f>
        <v>0</v>
      </c>
      <c r="E16" s="412">
        <v>0</v>
      </c>
      <c r="F16" s="412">
        <v>73688</v>
      </c>
      <c r="G16" s="412">
        <f>+E16+F16</f>
        <v>73688</v>
      </c>
      <c r="H16" s="412"/>
      <c r="I16" s="412"/>
      <c r="J16" s="412"/>
      <c r="K16" s="412">
        <f>SUM('[1]Terv'!B16+'[1]Terv'!E16+'[1]Terv'!H16+'[1]Terv'!K16)+'6a.melléklet (2)'!B16+'6a.melléklet (2)'!E16+'6a.melléklet (2)'!H16+'6a.melléklet (2)'!K16+'6a.melléklet (3)'!B16+'6a.melléklet (3)'!E16+'6a.melléklet (3)'!H16+'6a.melléklet (3)'!K16+'6a.melléklet (4)'!B16+'6a.melléklet (4)'!E16+'6a.melléklet (4)'!H16+'6a.melléklet (4)'!K16+'6a.melléklet (5)'!B16+'6a.melléklet (5)'!E16+'6a.melléklet (5)'!H16+'6a.melléklet (5)'!K16+'6a.melléklet (6)'!B16+'6a.melléklet (6)'!E16+'6a.melléklet (6)'!H16+'6a.melléklet (6)'!K16+'6a.melléklet (7)'!B16+'6a.melléklet (7)'!E16+'6a.melléklet (7)'!H16+'6a.melléklet (7)'!K16+'6a.melléklet (8)'!B16+'6a.melléklet (8)'!E16+'6a.melléklet (8)'!H16+'6a.melléklet (8)'!K16+'6a.melléklet (9)'!B16+'6a.melléklet (9)'!E16+'6a.melléklet (9)'!H16+'6a.melléklet (9)'!K16+'6a.melléklet (10)'!B16+'6a.melléklet (10)'!E16</f>
        <v>0</v>
      </c>
      <c r="L16" s="412">
        <f>SUM('[1]Terv'!C16+'[1]Terv'!F16+'[1]Terv'!I16+'[1]Terv'!L16)+'6a.melléklet (2)'!C16+'6a.melléklet (2)'!F16+'6a.melléklet (2)'!I16+'6a.melléklet (2)'!L16+'6a.melléklet (3)'!C16+'6a.melléklet (3)'!F16+'6a.melléklet (3)'!I16+'6a.melléklet (3)'!L16+'6a.melléklet (4)'!C16+'6a.melléklet (4)'!F16+'6a.melléklet (4)'!I16+'6a.melléklet (4)'!L16+'6a.melléklet (5)'!C16+'6a.melléklet (5)'!F16+'6a.melléklet (5)'!I16+'6a.melléklet (5)'!L16+'6a.melléklet (6)'!C16+'6a.melléklet (6)'!F16+'6a.melléklet (6)'!I16+'6a.melléklet (6)'!L16+'6a.melléklet (7)'!C16+'6a.melléklet (7)'!F16+'6a.melléklet (7)'!I16+'6a.melléklet (7)'!L16+'6a.melléklet (8)'!C16+'6a.melléklet (8)'!F16+'6a.melléklet (8)'!I16+'6a.melléklet (8)'!L16+'6a.melléklet (9)'!C16+'6a.melléklet (9)'!F16+'6a.melléklet (9)'!I16+'6a.melléklet (9)'!L16+'6a.melléklet (10)'!C16+'6a.melléklet (10)'!F16</f>
        <v>73688</v>
      </c>
      <c r="M16" s="412">
        <f>SUM('[1]Terv'!D16+'[1]Terv'!G16+'[1]Terv'!J16+'[1]Terv'!M16)+'6a.melléklet (2)'!D16+'6a.melléklet (2)'!G16+'6a.melléklet (2)'!J16+'6a.melléklet (2)'!M16+'6a.melléklet (3)'!D16+'6a.melléklet (3)'!G16+'6a.melléklet (3)'!J16+'6a.melléklet (3)'!M16+'6a.melléklet (4)'!D16+'6a.melléklet (4)'!G16+'6a.melléklet (4)'!J16+'6a.melléklet (4)'!M16+'6a.melléklet (5)'!D16+'6a.melléklet (5)'!G16+'6a.melléklet (5)'!J16+'6a.melléklet (5)'!M16+'6a.melléklet (6)'!D16+'6a.melléklet (6)'!G16+'6a.melléklet (6)'!J16+'6a.melléklet (6)'!M16+'6a.melléklet (7)'!D16+'6a.melléklet (7)'!G16+'6a.melléklet (7)'!J16+'6a.melléklet (7)'!M16+'6a.melléklet (8)'!D16+'6a.melléklet (8)'!G16+'6a.melléklet (8)'!J16+'6a.melléklet (8)'!M16+'6a.melléklet (9)'!D16+'6a.melléklet (9)'!G16+'6a.melléklet (9)'!J16+'6a.melléklet (9)'!M16+'6a.melléklet (10)'!D16+'6a.melléklet (10)'!G16</f>
        <v>73688</v>
      </c>
    </row>
    <row r="17" spans="1:13" s="388" customFormat="1" ht="12.75">
      <c r="A17" s="629" t="s">
        <v>521</v>
      </c>
      <c r="B17" s="412">
        <v>0</v>
      </c>
      <c r="C17" s="412"/>
      <c r="D17" s="412">
        <f>+B17+C17</f>
        <v>0</v>
      </c>
      <c r="E17" s="412">
        <v>0</v>
      </c>
      <c r="F17" s="412">
        <v>0</v>
      </c>
      <c r="G17" s="412">
        <f>+E17+F17</f>
        <v>0</v>
      </c>
      <c r="H17" s="412"/>
      <c r="I17" s="412"/>
      <c r="J17" s="412"/>
      <c r="K17" s="412">
        <f>SUM('[1]Terv'!B17+'[1]Terv'!E17+'[1]Terv'!H17+'[1]Terv'!K17)+'6a.melléklet (2)'!B17+'6a.melléklet (2)'!E17+'6a.melléklet (2)'!H17+'6a.melléklet (2)'!K17+'6a.melléklet (3)'!B17+'6a.melléklet (3)'!E17+'6a.melléklet (3)'!H17+'6a.melléklet (3)'!K17+'6a.melléklet (4)'!B17+'6a.melléklet (4)'!E17+'6a.melléklet (4)'!H17+'6a.melléklet (4)'!K17+'6a.melléklet (5)'!B17+'6a.melléklet (5)'!E17+'6a.melléklet (5)'!H17+'6a.melléklet (5)'!K17+'6a.melléklet (6)'!B17+'6a.melléklet (6)'!E17+'6a.melléklet (6)'!H17+'6a.melléklet (6)'!K17+'6a.melléklet (7)'!B17+'6a.melléklet (7)'!E17+'6a.melléklet (7)'!H17+'6a.melléklet (7)'!K17+'6a.melléklet (8)'!B17+'6a.melléklet (8)'!E17+'6a.melléklet (8)'!H17+'6a.melléklet (8)'!K17+'6a.melléklet (9)'!B17+'6a.melléklet (9)'!E17+'6a.melléklet (9)'!H17+'6a.melléklet (9)'!K17+'6a.melléklet (10)'!B17+'6a.melléklet (10)'!E17</f>
        <v>462</v>
      </c>
      <c r="L17" s="412">
        <f>SUM('[1]Terv'!C17+'[1]Terv'!F17+'[1]Terv'!I17+'[1]Terv'!L17)+'6a.melléklet (2)'!C17+'6a.melléklet (2)'!F17+'6a.melléklet (2)'!I17+'6a.melléklet (2)'!L17+'6a.melléklet (3)'!C17+'6a.melléklet (3)'!F17+'6a.melléklet (3)'!I17+'6a.melléklet (3)'!L17+'6a.melléklet (4)'!C17+'6a.melléklet (4)'!F17+'6a.melléklet (4)'!I17+'6a.melléklet (4)'!L17+'6a.melléklet (5)'!C17+'6a.melléklet (5)'!F17+'6a.melléklet (5)'!I17+'6a.melléklet (5)'!L17+'6a.melléklet (6)'!C17+'6a.melléklet (6)'!F17+'6a.melléklet (6)'!I17+'6a.melléklet (6)'!L17+'6a.melléklet (7)'!C17+'6a.melléklet (7)'!F17+'6a.melléklet (7)'!I17+'6a.melléklet (7)'!L17+'6a.melléklet (8)'!C17+'6a.melléklet (8)'!F17+'6a.melléklet (8)'!I17+'6a.melléklet (8)'!L17+'6a.melléklet (9)'!C17+'6a.melléklet (9)'!F17+'6a.melléklet (9)'!I17+'6a.melléklet (9)'!L17+'6a.melléklet (10)'!C17+'6a.melléklet (10)'!F17</f>
        <v>0</v>
      </c>
      <c r="M17" s="412">
        <f>SUM('[1]Terv'!D17+'[1]Terv'!G17+'[1]Terv'!J17+'[1]Terv'!M17)+'6a.melléklet (2)'!D17+'6a.melléklet (2)'!G17+'6a.melléklet (2)'!J17+'6a.melléklet (2)'!M17+'6a.melléklet (3)'!D17+'6a.melléklet (3)'!G17+'6a.melléklet (3)'!J17+'6a.melléklet (3)'!M17+'6a.melléklet (4)'!D17+'6a.melléklet (4)'!G17+'6a.melléklet (4)'!J17+'6a.melléklet (4)'!M17+'6a.melléklet (5)'!D17+'6a.melléklet (5)'!G17+'6a.melléklet (5)'!J17+'6a.melléklet (5)'!M17+'6a.melléklet (6)'!D17+'6a.melléklet (6)'!G17+'6a.melléklet (6)'!J17+'6a.melléklet (6)'!M17+'6a.melléklet (7)'!D17+'6a.melléklet (7)'!G17+'6a.melléklet (7)'!J17+'6a.melléklet (7)'!M17+'6a.melléklet (8)'!D17+'6a.melléklet (8)'!G17+'6a.melléklet (8)'!J17+'6a.melléklet (8)'!M17+'6a.melléklet (9)'!D17+'6a.melléklet (9)'!G17+'6a.melléklet (9)'!J17+'6a.melléklet (9)'!M17+'6a.melléklet (10)'!D17+'6a.melléklet (10)'!G17</f>
        <v>462</v>
      </c>
    </row>
    <row r="18" spans="1:13" s="902" customFormat="1" ht="12.75">
      <c r="A18" s="630" t="s">
        <v>522</v>
      </c>
      <c r="B18" s="399">
        <f aca="true" t="shared" si="0" ref="B18:M18">SUM(B13:B17)</f>
        <v>358968</v>
      </c>
      <c r="C18" s="399">
        <f t="shared" si="0"/>
        <v>1336</v>
      </c>
      <c r="D18" s="399">
        <f t="shared" si="0"/>
        <v>360304</v>
      </c>
      <c r="E18" s="399">
        <f t="shared" si="0"/>
        <v>558814</v>
      </c>
      <c r="F18" s="399">
        <f t="shared" si="0"/>
        <v>-91752</v>
      </c>
      <c r="G18" s="399">
        <f t="shared" si="0"/>
        <v>467062</v>
      </c>
      <c r="H18" s="399">
        <f t="shared" si="0"/>
        <v>0</v>
      </c>
      <c r="I18" s="399">
        <f t="shared" si="0"/>
        <v>0</v>
      </c>
      <c r="J18" s="399">
        <f t="shared" si="0"/>
        <v>0</v>
      </c>
      <c r="K18" s="399">
        <f t="shared" si="0"/>
        <v>6309500</v>
      </c>
      <c r="L18" s="399">
        <f t="shared" si="0"/>
        <v>-85650</v>
      </c>
      <c r="M18" s="399">
        <f t="shared" si="0"/>
        <v>6223850</v>
      </c>
    </row>
    <row r="19" spans="1:13" s="388" customFormat="1" ht="12.75">
      <c r="A19" s="629" t="s">
        <v>171</v>
      </c>
      <c r="B19" s="412">
        <f>408+30600</f>
        <v>31008</v>
      </c>
      <c r="C19" s="412">
        <v>-2065</v>
      </c>
      <c r="D19" s="412">
        <f>+B19+C19</f>
        <v>28943</v>
      </c>
      <c r="E19" s="412">
        <f>5000+14231</f>
        <v>19231</v>
      </c>
      <c r="F19" s="412">
        <f>-900+20000-4062</f>
        <v>15038</v>
      </c>
      <c r="G19" s="412">
        <f>+E19+F19</f>
        <v>34269</v>
      </c>
      <c r="H19" s="412"/>
      <c r="I19" s="412"/>
      <c r="J19" s="412"/>
      <c r="K19" s="412">
        <f>SUM('[1]Terv'!B19+'[1]Terv'!E19+'[1]Terv'!H19+'[1]Terv'!K19)+'6a.melléklet (2)'!B19+'6a.melléklet (2)'!E19+'6a.melléklet (2)'!H19+'6a.melléklet (2)'!K19+'6a.melléklet (3)'!B19+'6a.melléklet (3)'!E19+'6a.melléklet (3)'!H19+'6a.melléklet (3)'!K19+'6a.melléklet (4)'!B19+'6a.melléklet (4)'!E19+'6a.melléklet (4)'!H19+'6a.melléklet (4)'!K19+'6a.melléklet (5)'!B19+'6a.melléklet (5)'!E19+'6a.melléklet (5)'!H19+'6a.melléklet (5)'!K19+'6a.melléklet (6)'!B19+'6a.melléklet (6)'!E19+'6a.melléklet (6)'!H19+'6a.melléklet (6)'!K19+'6a.melléklet (7)'!B19+'6a.melléklet (7)'!E19+'6a.melléklet (7)'!H19+'6a.melléklet (7)'!K19+'6a.melléklet (8)'!B19+'6a.melléklet (8)'!E19+'6a.melléklet (8)'!H19+'6a.melléklet (8)'!K19+'6a.melléklet (9)'!B19+'6a.melléklet (9)'!E19+'6a.melléklet (9)'!H19+'6a.melléklet (9)'!K19+'6a.melléklet (10)'!B19+'6a.melléklet (10)'!E19</f>
        <v>360054</v>
      </c>
      <c r="L19" s="412">
        <f>SUM('[1]Terv'!C19+'[1]Terv'!F19+'[1]Terv'!I19+'[1]Terv'!L19)+'6a.melléklet (2)'!C19+'6a.melléklet (2)'!F19+'6a.melléklet (2)'!I19+'6a.melléklet (2)'!L19+'6a.melléklet (3)'!C19+'6a.melléklet (3)'!F19+'6a.melléklet (3)'!I19+'6a.melléklet (3)'!L19+'6a.melléklet (4)'!C19+'6a.melléklet (4)'!F19+'6a.melléklet (4)'!I19+'6a.melléklet (4)'!L19+'6a.melléklet (5)'!C19+'6a.melléklet (5)'!F19+'6a.melléklet (5)'!I19+'6a.melléklet (5)'!L19+'6a.melléklet (6)'!C19+'6a.melléklet (6)'!F19+'6a.melléklet (6)'!I19+'6a.melléklet (6)'!L19+'6a.melléklet (7)'!C19+'6a.melléklet (7)'!F19+'6a.melléklet (7)'!I19+'6a.melléklet (7)'!L19+'6a.melléklet (8)'!C19+'6a.melléklet (8)'!F19+'6a.melléklet (8)'!I19+'6a.melléklet (8)'!L19+'6a.melléklet (9)'!C19+'6a.melléklet (9)'!F19+'6a.melléklet (9)'!I19+'6a.melléklet (9)'!L19+'6a.melléklet (10)'!C19+'6a.melléklet (10)'!F19</f>
        <v>33545</v>
      </c>
      <c r="M19" s="412">
        <f>SUM('[1]Terv'!D19+'[1]Terv'!G19+'[1]Terv'!J19+'[1]Terv'!M19)+'6a.melléklet (2)'!D19+'6a.melléklet (2)'!G19+'6a.melléklet (2)'!J19+'6a.melléklet (2)'!M19+'6a.melléklet (3)'!D19+'6a.melléklet (3)'!G19+'6a.melléklet (3)'!J19+'6a.melléklet (3)'!M19+'6a.melléklet (4)'!D19+'6a.melléklet (4)'!G19+'6a.melléklet (4)'!J19+'6a.melléklet (4)'!M19+'6a.melléklet (5)'!D19+'6a.melléklet (5)'!G19+'6a.melléklet (5)'!J19+'6a.melléklet (5)'!M19+'6a.melléklet (6)'!D19+'6a.melléklet (6)'!G19+'6a.melléklet (6)'!J19+'6a.melléklet (6)'!M19+'6a.melléklet (7)'!D19+'6a.melléklet (7)'!G19+'6a.melléklet (7)'!J19+'6a.melléklet (7)'!M19+'6a.melléklet (8)'!D19+'6a.melléklet (8)'!G19+'6a.melléklet (8)'!J19+'6a.melléklet (8)'!M19+'6a.melléklet (9)'!D19+'6a.melléklet (9)'!G19+'6a.melléklet (9)'!J19+'6a.melléklet (9)'!M19+'6a.melléklet (10)'!D19+'6a.melléklet (10)'!G19</f>
        <v>393599</v>
      </c>
    </row>
    <row r="20" spans="1:13" s="388" customFormat="1" ht="12.75">
      <c r="A20" s="629" t="s">
        <v>172</v>
      </c>
      <c r="B20" s="412">
        <f>103+7000+1536</f>
        <v>8639</v>
      </c>
      <c r="C20" s="412">
        <v>174</v>
      </c>
      <c r="D20" s="412">
        <f>+B20+C20</f>
        <v>8813</v>
      </c>
      <c r="E20" s="412">
        <v>6059</v>
      </c>
      <c r="F20" s="412">
        <f>994+569+3403</f>
        <v>4966</v>
      </c>
      <c r="G20" s="412">
        <f>+E20+F20</f>
        <v>11025</v>
      </c>
      <c r="H20" s="412"/>
      <c r="I20" s="412"/>
      <c r="J20" s="412"/>
      <c r="K20" s="412">
        <f>SUM('[1]Terv'!B20+'[1]Terv'!E20+'[1]Terv'!H20+'[1]Terv'!K20)+'6a.melléklet (2)'!B20+'6a.melléklet (2)'!E20+'6a.melléklet (2)'!H20+'6a.melléklet (2)'!K20+'6a.melléklet (3)'!B20+'6a.melléklet (3)'!E20+'6a.melléklet (3)'!H20+'6a.melléklet (3)'!K20+'6a.melléklet (4)'!B20+'6a.melléklet (4)'!E20+'6a.melléklet (4)'!H20+'6a.melléklet (4)'!K20+'6a.melléklet (5)'!B20+'6a.melléklet (5)'!E20+'6a.melléklet (5)'!H20+'6a.melléklet (5)'!K20+'6a.melléklet (6)'!B20+'6a.melléklet (6)'!E20+'6a.melléklet (6)'!H20+'6a.melléklet (6)'!K20+'6a.melléklet (7)'!B20+'6a.melléklet (7)'!E20+'6a.melléklet (7)'!H20+'6a.melléklet (7)'!K20+'6a.melléklet (8)'!B20+'6a.melléklet (8)'!E20+'6a.melléklet (8)'!H20+'6a.melléklet (8)'!K20+'6a.melléklet (9)'!B20+'6a.melléklet (9)'!E20+'6a.melléklet (9)'!H20+'6a.melléklet (9)'!K20+'6a.melléklet (10)'!B20+'6a.melléklet (10)'!E20</f>
        <v>27716</v>
      </c>
      <c r="L20" s="412">
        <f>SUM('[1]Terv'!C20+'[1]Terv'!F20+'[1]Terv'!I20+'[1]Terv'!L20)+'6a.melléklet (2)'!C20+'6a.melléklet (2)'!F20+'6a.melléklet (2)'!I20+'6a.melléklet (2)'!L20+'6a.melléklet (3)'!C20+'6a.melléklet (3)'!F20+'6a.melléklet (3)'!I20+'6a.melléklet (3)'!L20+'6a.melléklet (4)'!C20+'6a.melléklet (4)'!F20+'6a.melléklet (4)'!I20+'6a.melléklet (4)'!L20+'6a.melléklet (5)'!C20+'6a.melléklet (5)'!F20+'6a.melléklet (5)'!I20+'6a.melléklet (5)'!L20+'6a.melléklet (6)'!C20+'6a.melléklet (6)'!F20+'6a.melléklet (6)'!I20+'6a.melléklet (6)'!L20+'6a.melléklet (7)'!C20+'6a.melléklet (7)'!F20+'6a.melléklet (7)'!I20+'6a.melléklet (7)'!L20+'6a.melléklet (8)'!C20+'6a.melléklet (8)'!F20+'6a.melléklet (8)'!I20+'6a.melléklet (8)'!L20+'6a.melléklet (9)'!C20+'6a.melléklet (9)'!F20+'6a.melléklet (9)'!I20+'6a.melléklet (9)'!L20+'6a.melléklet (10)'!C20+'6a.melléklet (10)'!F20</f>
        <v>4810</v>
      </c>
      <c r="M20" s="412">
        <f>SUM('[1]Terv'!D20+'[1]Terv'!G20+'[1]Terv'!J20+'[1]Terv'!M20)+'6a.melléklet (2)'!D20+'6a.melléklet (2)'!G20+'6a.melléklet (2)'!J20+'6a.melléklet (2)'!M20+'6a.melléklet (3)'!D20+'6a.melléklet (3)'!G20+'6a.melléklet (3)'!J20+'6a.melléklet (3)'!M20+'6a.melléklet (4)'!D20+'6a.melléklet (4)'!G20+'6a.melléklet (4)'!J20+'6a.melléklet (4)'!M20+'6a.melléklet (5)'!D20+'6a.melléklet (5)'!G20+'6a.melléklet (5)'!J20+'6a.melléklet (5)'!M20+'6a.melléklet (6)'!D20+'6a.melléklet (6)'!G20+'6a.melléklet (6)'!J20+'6a.melléklet (6)'!M20+'6a.melléklet (7)'!D20+'6a.melléklet (7)'!G20+'6a.melléklet (7)'!J20+'6a.melléklet (7)'!M20+'6a.melléklet (8)'!D20+'6a.melléklet (8)'!G20+'6a.melléklet (8)'!J20+'6a.melléklet (8)'!M20+'6a.melléklet (9)'!D20+'6a.melléklet (9)'!G20+'6a.melléklet (9)'!J20+'6a.melléklet (9)'!M20+'6a.melléklet (10)'!D20+'6a.melléklet (10)'!G20</f>
        <v>32526</v>
      </c>
    </row>
    <row r="21" spans="1:13" s="388" customFormat="1" ht="22.5">
      <c r="A21" s="907" t="s">
        <v>170</v>
      </c>
      <c r="B21" s="412">
        <v>0</v>
      </c>
      <c r="C21" s="412">
        <v>0</v>
      </c>
      <c r="D21" s="412">
        <f>+B21+C21</f>
        <v>0</v>
      </c>
      <c r="E21" s="412">
        <v>0</v>
      </c>
      <c r="F21" s="412">
        <v>69040</v>
      </c>
      <c r="G21" s="412">
        <f>+E21+F21</f>
        <v>69040</v>
      </c>
      <c r="H21" s="412"/>
      <c r="I21" s="412"/>
      <c r="J21" s="412"/>
      <c r="K21" s="412">
        <f>SUM('[1]Terv'!B21+'[1]Terv'!E21+'[1]Terv'!H21+'[1]Terv'!K21)+'6a.melléklet (2)'!B21+'6a.melléklet (2)'!E21+'6a.melléklet (2)'!H21+'6a.melléklet (2)'!K21+'6a.melléklet (3)'!B21+'6a.melléklet (3)'!E21+'6a.melléklet (3)'!H21+'6a.melléklet (3)'!K21+'6a.melléklet (4)'!B21+'6a.melléklet (4)'!E21+'6a.melléklet (4)'!H21+'6a.melléklet (4)'!K21+'6a.melléklet (5)'!B21+'6a.melléklet (5)'!E21+'6a.melléklet (5)'!H21+'6a.melléklet (5)'!K21+'6a.melléklet (6)'!B21+'6a.melléklet (6)'!E21+'6a.melléklet (6)'!H21+'6a.melléklet (6)'!K21+'6a.melléklet (7)'!B21+'6a.melléklet (7)'!E21+'6a.melléklet (7)'!H21+'6a.melléklet (7)'!K21+'6a.melléklet (8)'!B21+'6a.melléklet (8)'!E21+'6a.melléklet (8)'!H21+'6a.melléklet (8)'!K21+'6a.melléklet (9)'!B21+'6a.melléklet (9)'!E21+'6a.melléklet (9)'!H21+'6a.melléklet (9)'!K21+'6a.melléklet (10)'!B21+'6a.melléklet (10)'!E21</f>
        <v>0</v>
      </c>
      <c r="L21" s="412">
        <f>SUM('[1]Terv'!C21+'[1]Terv'!F21+'[1]Terv'!I21+'[1]Terv'!L21)+'6a.melléklet (2)'!C21+'6a.melléklet (2)'!F21+'6a.melléklet (2)'!I21+'6a.melléklet (2)'!L21+'6a.melléklet (3)'!C21+'6a.melléklet (3)'!F21+'6a.melléklet (3)'!I21+'6a.melléklet (3)'!L21+'6a.melléklet (4)'!C21+'6a.melléklet (4)'!F21+'6a.melléklet (4)'!I21+'6a.melléklet (4)'!L21+'6a.melléklet (5)'!C21+'6a.melléklet (5)'!F21+'6a.melléklet (5)'!I21+'6a.melléklet (5)'!L21+'6a.melléklet (6)'!C21+'6a.melléklet (6)'!F21+'6a.melléklet (6)'!I21+'6a.melléklet (6)'!L21+'6a.melléklet (7)'!C21+'6a.melléklet (7)'!F21+'6a.melléklet (7)'!I21+'6a.melléklet (7)'!L21+'6a.melléklet (8)'!C21+'6a.melléklet (8)'!F21+'6a.melléklet (8)'!I21+'6a.melléklet (8)'!L21+'6a.melléklet (9)'!C21+'6a.melléklet (9)'!F21+'6a.melléklet (9)'!I21+'6a.melléklet (9)'!L21+'6a.melléklet (10)'!C21+'6a.melléklet (10)'!F21</f>
        <v>69040</v>
      </c>
      <c r="M21" s="412">
        <f>SUM('[1]Terv'!D21+'[1]Terv'!G21+'[1]Terv'!J21+'[1]Terv'!M21)+'6a.melléklet (2)'!D21+'6a.melléklet (2)'!G21+'6a.melléklet (2)'!J21+'6a.melléklet (2)'!M21+'6a.melléklet (3)'!D21+'6a.melléklet (3)'!G21+'6a.melléklet (3)'!J21+'6a.melléklet (3)'!M21+'6a.melléklet (4)'!D21+'6a.melléklet (4)'!G21+'6a.melléklet (4)'!J21+'6a.melléklet (4)'!M21+'6a.melléklet (5)'!D21+'6a.melléklet (5)'!G21+'6a.melléklet (5)'!J21+'6a.melléklet (5)'!M21+'6a.melléklet (6)'!D21+'6a.melléklet (6)'!G21+'6a.melléklet (6)'!J21+'6a.melléklet (6)'!M21+'6a.melléklet (7)'!D21+'6a.melléklet (7)'!G21+'6a.melléklet (7)'!J21+'6a.melléklet (7)'!M21+'6a.melléklet (8)'!D21+'6a.melléklet (8)'!G21+'6a.melléklet (8)'!J21+'6a.melléklet (8)'!M21+'6a.melléklet (9)'!D21+'6a.melléklet (9)'!G21+'6a.melléklet (9)'!J21+'6a.melléklet (9)'!M21+'6a.melléklet (10)'!D21+'6a.melléklet (10)'!G21</f>
        <v>69040</v>
      </c>
    </row>
    <row r="22" spans="1:13" s="902" customFormat="1" ht="12.75">
      <c r="A22" s="630" t="s">
        <v>85</v>
      </c>
      <c r="B22" s="399">
        <f aca="true" t="shared" si="1" ref="B22:M22">SUM(B19:B21)</f>
        <v>39647</v>
      </c>
      <c r="C22" s="399">
        <f t="shared" si="1"/>
        <v>-1891</v>
      </c>
      <c r="D22" s="399">
        <f t="shared" si="1"/>
        <v>37756</v>
      </c>
      <c r="E22" s="399">
        <f t="shared" si="1"/>
        <v>25290</v>
      </c>
      <c r="F22" s="399">
        <f t="shared" si="1"/>
        <v>89044</v>
      </c>
      <c r="G22" s="399">
        <f t="shared" si="1"/>
        <v>114334</v>
      </c>
      <c r="H22" s="399">
        <f t="shared" si="1"/>
        <v>0</v>
      </c>
      <c r="I22" s="399">
        <f t="shared" si="1"/>
        <v>0</v>
      </c>
      <c r="J22" s="399">
        <f t="shared" si="1"/>
        <v>0</v>
      </c>
      <c r="K22" s="399">
        <f t="shared" si="1"/>
        <v>387770</v>
      </c>
      <c r="L22" s="399">
        <f t="shared" si="1"/>
        <v>107395</v>
      </c>
      <c r="M22" s="399">
        <f t="shared" si="1"/>
        <v>495165</v>
      </c>
    </row>
    <row r="23" spans="1:13" s="902" customFormat="1" ht="12.75">
      <c r="A23" s="903" t="s">
        <v>86</v>
      </c>
      <c r="B23" s="399">
        <f aca="true" t="shared" si="2" ref="B23:M23">SUM(B18+B22)</f>
        <v>398615</v>
      </c>
      <c r="C23" s="399">
        <f t="shared" si="2"/>
        <v>-555</v>
      </c>
      <c r="D23" s="399">
        <f t="shared" si="2"/>
        <v>398060</v>
      </c>
      <c r="E23" s="399">
        <f t="shared" si="2"/>
        <v>584104</v>
      </c>
      <c r="F23" s="399">
        <f t="shared" si="2"/>
        <v>-2708</v>
      </c>
      <c r="G23" s="399">
        <f t="shared" si="2"/>
        <v>581396</v>
      </c>
      <c r="H23" s="399">
        <f t="shared" si="2"/>
        <v>0</v>
      </c>
      <c r="I23" s="399">
        <f t="shared" si="2"/>
        <v>0</v>
      </c>
      <c r="J23" s="399">
        <f t="shared" si="2"/>
        <v>0</v>
      </c>
      <c r="K23" s="399">
        <f t="shared" si="2"/>
        <v>6697270</v>
      </c>
      <c r="L23" s="399">
        <f t="shared" si="2"/>
        <v>21745</v>
      </c>
      <c r="M23" s="399">
        <f t="shared" si="2"/>
        <v>6719015</v>
      </c>
    </row>
    <row r="24" spans="1:13" s="902" customFormat="1" ht="12.75">
      <c r="A24" s="630" t="s">
        <v>87</v>
      </c>
      <c r="B24" s="399"/>
      <c r="C24" s="399"/>
      <c r="D24" s="412"/>
      <c r="E24" s="399"/>
      <c r="F24" s="399"/>
      <c r="G24" s="412"/>
      <c r="H24" s="399"/>
      <c r="I24" s="399"/>
      <c r="J24" s="412"/>
      <c r="K24" s="399"/>
      <c r="L24" s="399"/>
      <c r="M24" s="412"/>
    </row>
    <row r="25" spans="1:13" s="388" customFormat="1" ht="24">
      <c r="A25" s="438" t="s">
        <v>491</v>
      </c>
      <c r="B25" s="412">
        <v>0</v>
      </c>
      <c r="C25" s="412">
        <v>0</v>
      </c>
      <c r="D25" s="412">
        <f aca="true" t="shared" si="3" ref="D25:D33">+B25+C25</f>
        <v>0</v>
      </c>
      <c r="E25" s="412">
        <v>0</v>
      </c>
      <c r="F25" s="412">
        <v>0</v>
      </c>
      <c r="G25" s="412">
        <f aca="true" t="shared" si="4" ref="G25:G33">+E25+F25</f>
        <v>0</v>
      </c>
      <c r="H25" s="412"/>
      <c r="I25" s="412"/>
      <c r="J25" s="412"/>
      <c r="K25" s="412">
        <f>SUM('[1]Terv'!B25+'[1]Terv'!E25+'[1]Terv'!H25+'[1]Terv'!K25)+'6a.melléklet (2)'!B25+'6a.melléklet (2)'!E25+'6a.melléklet (2)'!H25+'6a.melléklet (2)'!K25+'6a.melléklet (3)'!B25+'6a.melléklet (3)'!E25+'6a.melléklet (3)'!H25+'6a.melléklet (3)'!K25+'6a.melléklet (4)'!B25+'6a.melléklet (4)'!E25+'6a.melléklet (4)'!H25+'6a.melléklet (4)'!K25+'6a.melléklet (5)'!B25+'6a.melléklet (5)'!E25+'6a.melléklet (5)'!H25+'6a.melléklet (5)'!K25+'6a.melléklet (6)'!B25+'6a.melléklet (6)'!E25+'6a.melléklet (6)'!H25+'6a.melléklet (6)'!K25+'6a.melléklet (7)'!B25+'6a.melléklet (7)'!E25+'6a.melléklet (7)'!H25+'6a.melléklet (7)'!K25+'6a.melléklet (8)'!B25+'6a.melléklet (8)'!E25+'6a.melléklet (8)'!H25+'6a.melléklet (8)'!K25+'6a.melléklet (9)'!B25+'6a.melléklet (9)'!E25+'6a.melléklet (9)'!H25+'6a.melléklet (9)'!K25+'6a.melléklet (10)'!B25+'6a.melléklet (10)'!E25</f>
        <v>0</v>
      </c>
      <c r="L25" s="412">
        <f>SUM('[1]Terv'!C25+'[1]Terv'!F25+'[1]Terv'!I25+'[1]Terv'!L25)+'6a.melléklet (2)'!C25+'6a.melléklet (2)'!F25+'6a.melléklet (2)'!I25+'6a.melléklet (2)'!L25+'6a.melléklet (3)'!C25+'6a.melléklet (3)'!F25+'6a.melléklet (3)'!I25+'6a.melléklet (3)'!L25+'6a.melléklet (4)'!C25+'6a.melléklet (4)'!F25+'6a.melléklet (4)'!I25+'6a.melléklet (4)'!L25+'6a.melléklet (5)'!C25+'6a.melléklet (5)'!F25+'6a.melléklet (5)'!I25+'6a.melléklet (5)'!L25+'6a.melléklet (6)'!C25+'6a.melléklet (6)'!F25+'6a.melléklet (6)'!I25+'6a.melléklet (6)'!L25+'6a.melléklet (7)'!C25+'6a.melléklet (7)'!F25+'6a.melléklet (7)'!I25+'6a.melléklet (7)'!L25+'6a.melléklet (8)'!C25+'6a.melléklet (8)'!F25+'6a.melléklet (8)'!I25+'6a.melléklet (8)'!L25+'6a.melléklet (9)'!C25+'6a.melléklet (9)'!F25+'6a.melléklet (9)'!I25+'6a.melléklet (9)'!L25+'6a.melléklet (10)'!C25+'6a.melléklet (10)'!F25</f>
        <v>0</v>
      </c>
      <c r="M25" s="412">
        <f>SUM('[1]Terv'!D25+'[1]Terv'!G25+'[1]Terv'!J25+'[1]Terv'!M25)+'6a.melléklet (2)'!D25+'6a.melléklet (2)'!G25+'6a.melléklet (2)'!J25+'6a.melléklet (2)'!M25+'6a.melléklet (3)'!D25+'6a.melléklet (3)'!G25+'6a.melléklet (3)'!J25+'6a.melléklet (3)'!M25+'6a.melléklet (4)'!D25+'6a.melléklet (4)'!G25+'6a.melléklet (4)'!J25+'6a.melléklet (4)'!M25+'6a.melléklet (5)'!D25+'6a.melléklet (5)'!G25+'6a.melléklet (5)'!J25+'6a.melléklet (5)'!M25+'6a.melléklet (6)'!D25+'6a.melléklet (6)'!G25+'6a.melléklet (6)'!J25+'6a.melléklet (6)'!M25+'6a.melléklet (7)'!D25+'6a.melléklet (7)'!G25+'6a.melléklet (7)'!J25+'6a.melléklet (7)'!M25+'6a.melléklet (8)'!D25+'6a.melléklet (8)'!G25+'6a.melléklet (8)'!J25+'6a.melléklet (8)'!M25+'6a.melléklet (9)'!D25+'6a.melléklet (9)'!G25+'6a.melléklet (9)'!J25+'6a.melléklet (9)'!M25+'6a.melléklet (10)'!D25+'6a.melléklet (10)'!G25</f>
        <v>0</v>
      </c>
    </row>
    <row r="26" spans="1:13" s="388" customFormat="1" ht="24">
      <c r="A26" s="438" t="s">
        <v>492</v>
      </c>
      <c r="B26" s="412">
        <v>27219</v>
      </c>
      <c r="C26" s="412">
        <v>0</v>
      </c>
      <c r="D26" s="412">
        <f t="shared" si="3"/>
        <v>27219</v>
      </c>
      <c r="E26" s="412">
        <f>2328+1964+3566+1859+2896+1406</f>
        <v>14019</v>
      </c>
      <c r="F26" s="412">
        <v>0</v>
      </c>
      <c r="G26" s="412">
        <f t="shared" si="4"/>
        <v>14019</v>
      </c>
      <c r="H26" s="412"/>
      <c r="I26" s="412"/>
      <c r="J26" s="412"/>
      <c r="K26" s="412">
        <f>SUM('[1]Terv'!B26+'[1]Terv'!E26+'[1]Terv'!H26+'[1]Terv'!K26)+'6a.melléklet (2)'!B26+'6a.melléklet (2)'!E26+'6a.melléklet (2)'!H26+'6a.melléklet (2)'!K26+'6a.melléklet (3)'!B26+'6a.melléklet (3)'!E26+'6a.melléklet (3)'!H26+'6a.melléklet (3)'!K26+'6a.melléklet (4)'!B26+'6a.melléklet (4)'!E26+'6a.melléklet (4)'!H26+'6a.melléklet (4)'!K26+'6a.melléklet (5)'!B26+'6a.melléklet (5)'!E26+'6a.melléklet (5)'!H26+'6a.melléklet (5)'!K26+'6a.melléklet (6)'!B26+'6a.melléklet (6)'!E26+'6a.melléklet (6)'!H26+'6a.melléklet (6)'!K26+'6a.melléklet (7)'!B26+'6a.melléklet (7)'!E26+'6a.melléklet (7)'!H26+'6a.melléklet (7)'!K26+'6a.melléklet (8)'!B26+'6a.melléklet (8)'!E26+'6a.melléklet (8)'!H26+'6a.melléklet (8)'!K26+'6a.melléklet (9)'!B26+'6a.melléklet (9)'!E26+'6a.melléklet (9)'!H26+'6a.melléklet (9)'!K26+'6a.melléklet (10)'!B26+'6a.melléklet (10)'!E26</f>
        <v>239466</v>
      </c>
      <c r="L26" s="412">
        <f>SUM('[1]Terv'!C26+'[1]Terv'!F26+'[1]Terv'!I26+'[1]Terv'!L26)+'6a.melléklet (2)'!C26+'6a.melléklet (2)'!F26+'6a.melléklet (2)'!I26+'6a.melléklet (2)'!L26+'6a.melléklet (3)'!C26+'6a.melléklet (3)'!F26+'6a.melléklet (3)'!I26+'6a.melléklet (3)'!L26+'6a.melléklet (4)'!C26+'6a.melléklet (4)'!F26+'6a.melléklet (4)'!I26+'6a.melléklet (4)'!L26+'6a.melléklet (5)'!C26+'6a.melléklet (5)'!F26+'6a.melléklet (5)'!I26+'6a.melléklet (5)'!L26+'6a.melléklet (6)'!C26+'6a.melléklet (6)'!F26+'6a.melléklet (6)'!I26+'6a.melléklet (6)'!L26+'6a.melléklet (7)'!C26+'6a.melléklet (7)'!F26+'6a.melléklet (7)'!I26+'6a.melléklet (7)'!L26+'6a.melléklet (8)'!C26+'6a.melléklet (8)'!F26+'6a.melléklet (8)'!I26+'6a.melléklet (8)'!L26+'6a.melléklet (9)'!C26+'6a.melléklet (9)'!F26+'6a.melléklet (9)'!I26+'6a.melléklet (9)'!L26+'6a.melléklet (10)'!C26+'6a.melléklet (10)'!F26</f>
        <v>0</v>
      </c>
      <c r="M26" s="412">
        <f>SUM('[1]Terv'!D26+'[1]Terv'!G26+'[1]Terv'!J26+'[1]Terv'!M26)+'6a.melléklet (2)'!D26+'6a.melléklet (2)'!G26+'6a.melléklet (2)'!J26+'6a.melléklet (2)'!M26+'6a.melléklet (3)'!D26+'6a.melléklet (3)'!G26+'6a.melléklet (3)'!J26+'6a.melléklet (3)'!M26+'6a.melléklet (4)'!D26+'6a.melléklet (4)'!G26+'6a.melléklet (4)'!J26+'6a.melléklet (4)'!M26+'6a.melléklet (5)'!D26+'6a.melléklet (5)'!G26+'6a.melléklet (5)'!J26+'6a.melléklet (5)'!M26+'6a.melléklet (6)'!D26+'6a.melléklet (6)'!G26+'6a.melléklet (6)'!J26+'6a.melléklet (6)'!M26+'6a.melléklet (7)'!D26+'6a.melléklet (7)'!G26+'6a.melléklet (7)'!J26+'6a.melléklet (7)'!M26+'6a.melléklet (8)'!D26+'6a.melléklet (8)'!G26+'6a.melléklet (8)'!J26+'6a.melléklet (8)'!M26+'6a.melléklet (9)'!D26+'6a.melléklet (9)'!G26+'6a.melléklet (9)'!J26+'6a.melléklet (9)'!M26+'6a.melléklet (10)'!D26+'6a.melléklet (10)'!G26</f>
        <v>239466</v>
      </c>
    </row>
    <row r="27" spans="1:13" s="388" customFormat="1" ht="12.75">
      <c r="A27" s="629" t="s">
        <v>493</v>
      </c>
      <c r="B27" s="412">
        <v>0</v>
      </c>
      <c r="C27" s="412">
        <v>0</v>
      </c>
      <c r="D27" s="412">
        <f t="shared" si="3"/>
        <v>0</v>
      </c>
      <c r="E27" s="412">
        <f>539+363+1943</f>
        <v>2845</v>
      </c>
      <c r="F27" s="412">
        <v>0</v>
      </c>
      <c r="G27" s="412">
        <f t="shared" si="4"/>
        <v>2845</v>
      </c>
      <c r="H27" s="412"/>
      <c r="I27" s="412"/>
      <c r="J27" s="412"/>
      <c r="K27" s="412">
        <f>SUM('[1]Terv'!B27+'[1]Terv'!E27+'[1]Terv'!H27+'[1]Terv'!K27)+'6a.melléklet (2)'!B27+'6a.melléklet (2)'!E27+'6a.melléklet (2)'!H27+'6a.melléklet (2)'!K27+'6a.melléklet (3)'!B27+'6a.melléklet (3)'!E27+'6a.melléklet (3)'!H27+'6a.melléklet (3)'!K27+'6a.melléklet (4)'!B27+'6a.melléklet (4)'!E27+'6a.melléklet (4)'!H27+'6a.melléklet (4)'!K27+'6a.melléklet (5)'!B27+'6a.melléklet (5)'!E27+'6a.melléklet (5)'!H27+'6a.melléklet (5)'!K27+'6a.melléklet (6)'!B27+'6a.melléklet (6)'!E27+'6a.melléklet (6)'!H27+'6a.melléklet (6)'!K27+'6a.melléklet (7)'!B27+'6a.melléklet (7)'!E27+'6a.melléklet (7)'!H27+'6a.melléklet (7)'!K27+'6a.melléklet (8)'!B27+'6a.melléklet (8)'!E27+'6a.melléklet (8)'!H27+'6a.melléklet (8)'!K27+'6a.melléklet (9)'!B27+'6a.melléklet (9)'!E27+'6a.melléklet (9)'!H27+'6a.melléklet (9)'!K27+'6a.melléklet (10)'!B27+'6a.melléklet (10)'!E27</f>
        <v>7702</v>
      </c>
      <c r="L27" s="412">
        <f>SUM('[1]Terv'!C27+'[1]Terv'!F27+'[1]Terv'!I27+'[1]Terv'!L27)+'6a.melléklet (2)'!C27+'6a.melléklet (2)'!F27+'6a.melléklet (2)'!I27+'6a.melléklet (2)'!L27+'6a.melléklet (3)'!C27+'6a.melléklet (3)'!F27+'6a.melléklet (3)'!I27+'6a.melléklet (3)'!L27+'6a.melléklet (4)'!C27+'6a.melléklet (4)'!F27+'6a.melléklet (4)'!I27+'6a.melléklet (4)'!L27+'6a.melléklet (5)'!C27+'6a.melléklet (5)'!F27+'6a.melléklet (5)'!I27+'6a.melléklet (5)'!L27+'6a.melléklet (6)'!C27+'6a.melléklet (6)'!F27+'6a.melléklet (6)'!I27+'6a.melléklet (6)'!L27+'6a.melléklet (7)'!C27+'6a.melléklet (7)'!F27+'6a.melléklet (7)'!I27+'6a.melléklet (7)'!L27+'6a.melléklet (8)'!C27+'6a.melléklet (8)'!F27+'6a.melléklet (8)'!I27+'6a.melléklet (8)'!L27+'6a.melléklet (9)'!C27+'6a.melléklet (9)'!F27+'6a.melléklet (9)'!I27+'6a.melléklet (9)'!L27+'6a.melléklet (10)'!C27+'6a.melléklet (10)'!F27</f>
        <v>0</v>
      </c>
      <c r="M27" s="412">
        <f>SUM('[1]Terv'!D27+'[1]Terv'!G27+'[1]Terv'!J27+'[1]Terv'!M27)+'6a.melléklet (2)'!D27+'6a.melléklet (2)'!G27+'6a.melléklet (2)'!J27+'6a.melléklet (2)'!M27+'6a.melléklet (3)'!D27+'6a.melléklet (3)'!G27+'6a.melléklet (3)'!J27+'6a.melléklet (3)'!M27+'6a.melléklet (4)'!D27+'6a.melléklet (4)'!G27+'6a.melléklet (4)'!J27+'6a.melléklet (4)'!M27+'6a.melléklet (5)'!D27+'6a.melléklet (5)'!G27+'6a.melléklet (5)'!J27+'6a.melléklet (5)'!M27+'6a.melléklet (6)'!D27+'6a.melléklet (6)'!G27+'6a.melléklet (6)'!J27+'6a.melléklet (6)'!M27+'6a.melléklet (7)'!D27+'6a.melléklet (7)'!G27+'6a.melléklet (7)'!J27+'6a.melléklet (7)'!M27+'6a.melléklet (8)'!D27+'6a.melléklet (8)'!G27+'6a.melléklet (8)'!J27+'6a.melléklet (8)'!M27+'6a.melléklet (9)'!D27+'6a.melléklet (9)'!G27+'6a.melléklet (9)'!J27+'6a.melléklet (9)'!M27+'6a.melléklet (10)'!D27+'6a.melléklet (10)'!G27</f>
        <v>7702</v>
      </c>
    </row>
    <row r="28" spans="1:13" s="388" customFormat="1" ht="12.75">
      <c r="A28" s="629" t="s">
        <v>164</v>
      </c>
      <c r="B28" s="412">
        <v>4422</v>
      </c>
      <c r="C28" s="412">
        <v>0</v>
      </c>
      <c r="D28" s="412">
        <f t="shared" si="3"/>
        <v>4422</v>
      </c>
      <c r="E28" s="412">
        <f>189+535+279+107+81+54+291</f>
        <v>1536</v>
      </c>
      <c r="F28" s="412">
        <v>0</v>
      </c>
      <c r="G28" s="412">
        <f t="shared" si="4"/>
        <v>1536</v>
      </c>
      <c r="H28" s="412"/>
      <c r="I28" s="412"/>
      <c r="J28" s="412"/>
      <c r="K28" s="412">
        <f>SUM('[1]Terv'!B28+'[1]Terv'!E28+'[1]Terv'!H28+'[1]Terv'!K28)+'6a.melléklet (2)'!B28+'6a.melléklet (2)'!E28+'6a.melléklet (2)'!H28+'6a.melléklet (2)'!K28+'6a.melléklet (3)'!B28+'6a.melléklet (3)'!E28+'6a.melléklet (3)'!H28+'6a.melléklet (3)'!K28+'6a.melléklet (4)'!B28+'6a.melléklet (4)'!E28+'6a.melléklet (4)'!H28+'6a.melléklet (4)'!K28+'6a.melléklet (5)'!B28+'6a.melléklet (5)'!E28+'6a.melléklet (5)'!H28+'6a.melléklet (5)'!K28+'6a.melléklet (6)'!B28+'6a.melléklet (6)'!E28+'6a.melléklet (6)'!H28+'6a.melléklet (6)'!K28+'6a.melléklet (7)'!B28+'6a.melléklet (7)'!E28+'6a.melléklet (7)'!H28+'6a.melléklet (7)'!K28+'6a.melléklet (8)'!B28+'6a.melléklet (8)'!E28+'6a.melléklet (8)'!H28+'6a.melléklet (8)'!K28+'6a.melléklet (9)'!B28+'6a.melléklet (9)'!E28+'6a.melléklet (9)'!H28+'6a.melléklet (9)'!K28+'6a.melléklet (10)'!B28+'6a.melléklet (10)'!E28</f>
        <v>32254</v>
      </c>
      <c r="L28" s="412">
        <f>SUM('[1]Terv'!C28+'[1]Terv'!F28+'[1]Terv'!I28+'[1]Terv'!L28)+'6a.melléklet (2)'!C28+'6a.melléklet (2)'!F28+'6a.melléklet (2)'!I28+'6a.melléklet (2)'!L28+'6a.melléklet (3)'!C28+'6a.melléklet (3)'!F28+'6a.melléklet (3)'!I28+'6a.melléklet (3)'!L28+'6a.melléklet (4)'!C28+'6a.melléklet (4)'!F28+'6a.melléklet (4)'!I28+'6a.melléklet (4)'!L28+'6a.melléklet (5)'!C28+'6a.melléklet (5)'!F28+'6a.melléklet (5)'!I28+'6a.melléklet (5)'!L28+'6a.melléklet (6)'!C28+'6a.melléklet (6)'!F28+'6a.melléklet (6)'!I28+'6a.melléklet (6)'!L28+'6a.melléklet (7)'!C28+'6a.melléklet (7)'!F28+'6a.melléklet (7)'!I28+'6a.melléklet (7)'!L28+'6a.melléklet (8)'!C28+'6a.melléklet (8)'!F28+'6a.melléklet (8)'!I28+'6a.melléklet (8)'!L28+'6a.melléklet (9)'!C28+'6a.melléklet (9)'!F28+'6a.melléklet (9)'!I28+'6a.melléklet (9)'!L28+'6a.melléklet (10)'!C28+'6a.melléklet (10)'!F28</f>
        <v>0</v>
      </c>
      <c r="M28" s="412">
        <f>SUM('[1]Terv'!D28+'[1]Terv'!G28+'[1]Terv'!J28+'[1]Terv'!M28)+'6a.melléklet (2)'!D28+'6a.melléklet (2)'!G28+'6a.melléklet (2)'!J28+'6a.melléklet (2)'!M28+'6a.melléklet (3)'!D28+'6a.melléklet (3)'!G28+'6a.melléklet (3)'!J28+'6a.melléklet (3)'!M28+'6a.melléklet (4)'!D28+'6a.melléklet (4)'!G28+'6a.melléklet (4)'!J28+'6a.melléklet (4)'!M28+'6a.melléklet (5)'!D28+'6a.melléklet (5)'!G28+'6a.melléklet (5)'!J28+'6a.melléklet (5)'!M28+'6a.melléklet (6)'!D28+'6a.melléklet (6)'!G28+'6a.melléklet (6)'!J28+'6a.melléklet (6)'!M28+'6a.melléklet (7)'!D28+'6a.melléklet (7)'!G28+'6a.melléklet (7)'!J28+'6a.melléklet (7)'!M28+'6a.melléklet (8)'!D28+'6a.melléklet (8)'!G28+'6a.melléklet (8)'!J28+'6a.melléklet (8)'!M28+'6a.melléklet (9)'!D28+'6a.melléklet (9)'!G28+'6a.melléklet (9)'!J28+'6a.melléklet (9)'!M28+'6a.melléklet (10)'!D28+'6a.melléklet (10)'!G28</f>
        <v>32254</v>
      </c>
    </row>
    <row r="29" spans="1:13" s="388" customFormat="1" ht="12.75">
      <c r="A29" s="629" t="s">
        <v>494</v>
      </c>
      <c r="B29" s="412">
        <v>0</v>
      </c>
      <c r="C29" s="412">
        <v>0</v>
      </c>
      <c r="D29" s="412">
        <f t="shared" si="3"/>
        <v>0</v>
      </c>
      <c r="E29" s="412">
        <v>49</v>
      </c>
      <c r="F29" s="412">
        <v>0</v>
      </c>
      <c r="G29" s="412">
        <f t="shared" si="4"/>
        <v>49</v>
      </c>
      <c r="H29" s="412"/>
      <c r="I29" s="412"/>
      <c r="J29" s="412"/>
      <c r="K29" s="412">
        <f>SUM('[1]Terv'!B29+'[1]Terv'!E29+'[1]Terv'!H29+'[1]Terv'!K29)+'6a.melléklet (2)'!B29+'6a.melléklet (2)'!E29+'6a.melléklet (2)'!H29+'6a.melléklet (2)'!K29+'6a.melléklet (3)'!B29+'6a.melléklet (3)'!E29+'6a.melléklet (3)'!H29+'6a.melléklet (3)'!K29+'6a.melléklet (4)'!B29+'6a.melléklet (4)'!E29+'6a.melléklet (4)'!H29+'6a.melléklet (4)'!K29+'6a.melléklet (5)'!B29+'6a.melléklet (5)'!E29+'6a.melléklet (5)'!H29+'6a.melléklet (5)'!K29+'6a.melléklet (6)'!B29+'6a.melléklet (6)'!E29+'6a.melléklet (6)'!H29+'6a.melléklet (6)'!K29+'6a.melléklet (7)'!B29+'6a.melléklet (7)'!E29+'6a.melléklet (7)'!H29+'6a.melléklet (7)'!K29+'6a.melléklet (8)'!B29+'6a.melléklet (8)'!E29+'6a.melléklet (8)'!H29+'6a.melléklet (8)'!K29+'6a.melléklet (9)'!B29+'6a.melléklet (9)'!E29+'6a.melléklet (9)'!H29+'6a.melléklet (9)'!K29+'6a.melléklet (10)'!B29+'6a.melléklet (10)'!E29</f>
        <v>49</v>
      </c>
      <c r="L29" s="412">
        <f>SUM('[1]Terv'!C29+'[1]Terv'!F29+'[1]Terv'!I29+'[1]Terv'!L29)+'6a.melléklet (2)'!C29+'6a.melléklet (2)'!F29+'6a.melléklet (2)'!I29+'6a.melléklet (2)'!L29+'6a.melléklet (3)'!C29+'6a.melléklet (3)'!F29+'6a.melléklet (3)'!I29+'6a.melléklet (3)'!L29+'6a.melléklet (4)'!C29+'6a.melléklet (4)'!F29+'6a.melléklet (4)'!I29+'6a.melléklet (4)'!L29+'6a.melléklet (5)'!C29+'6a.melléklet (5)'!F29+'6a.melléklet (5)'!I29+'6a.melléklet (5)'!L29+'6a.melléklet (6)'!C29+'6a.melléklet (6)'!F29+'6a.melléklet (6)'!I29+'6a.melléklet (6)'!L29+'6a.melléklet (7)'!C29+'6a.melléklet (7)'!F29+'6a.melléklet (7)'!I29+'6a.melléklet (7)'!L29+'6a.melléklet (8)'!C29+'6a.melléklet (8)'!F29+'6a.melléklet (8)'!I29+'6a.melléklet (8)'!L29+'6a.melléklet (9)'!C29+'6a.melléklet (9)'!F29+'6a.melléklet (9)'!I29+'6a.melléklet (9)'!L29+'6a.melléklet (10)'!C29+'6a.melléklet (10)'!F29</f>
        <v>0</v>
      </c>
      <c r="M29" s="412">
        <f>SUM('[1]Terv'!D29+'[1]Terv'!G29+'[1]Terv'!J29+'[1]Terv'!M29)+'6a.melléklet (2)'!D29+'6a.melléklet (2)'!G29+'6a.melléklet (2)'!J29+'6a.melléklet (2)'!M29+'6a.melléklet (3)'!D29+'6a.melléklet (3)'!G29+'6a.melléklet (3)'!J29+'6a.melléklet (3)'!M29+'6a.melléklet (4)'!D29+'6a.melléklet (4)'!G29+'6a.melléklet (4)'!J29+'6a.melléklet (4)'!M29+'6a.melléklet (5)'!D29+'6a.melléklet (5)'!G29+'6a.melléklet (5)'!J29+'6a.melléklet (5)'!M29+'6a.melléklet (6)'!D29+'6a.melléklet (6)'!G29+'6a.melléklet (6)'!J29+'6a.melléklet (6)'!M29+'6a.melléklet (7)'!D29+'6a.melléklet (7)'!G29+'6a.melléklet (7)'!J29+'6a.melléklet (7)'!M29+'6a.melléklet (8)'!D29+'6a.melléklet (8)'!G29+'6a.melléklet (8)'!J29+'6a.melléklet (8)'!M29+'6a.melléklet (9)'!D29+'6a.melléklet (9)'!G29+'6a.melléklet (9)'!J29+'6a.melléklet (9)'!M29+'6a.melléklet (10)'!D29+'6a.melléklet (10)'!G29</f>
        <v>49</v>
      </c>
    </row>
    <row r="30" spans="1:13" s="388" customFormat="1" ht="19.5" customHeight="1">
      <c r="A30" s="914" t="s">
        <v>165</v>
      </c>
      <c r="B30" s="412">
        <v>292</v>
      </c>
      <c r="C30" s="412">
        <v>0</v>
      </c>
      <c r="D30" s="412">
        <f t="shared" si="3"/>
        <v>292</v>
      </c>
      <c r="E30" s="412">
        <v>0</v>
      </c>
      <c r="F30" s="412">
        <v>0</v>
      </c>
      <c r="G30" s="412">
        <f t="shared" si="4"/>
        <v>0</v>
      </c>
      <c r="H30" s="412"/>
      <c r="I30" s="412"/>
      <c r="J30" s="412"/>
      <c r="K30" s="412">
        <f>SUM('[1]Terv'!B30+'[1]Terv'!E30+'[1]Terv'!H30+'[1]Terv'!K30)+'6a.melléklet (2)'!B30+'6a.melléklet (2)'!E30+'6a.melléklet (2)'!H30+'6a.melléklet (2)'!K30+'6a.melléklet (3)'!B30+'6a.melléklet (3)'!E30+'6a.melléklet (3)'!H30+'6a.melléklet (3)'!K30+'6a.melléklet (4)'!B30+'6a.melléklet (4)'!E30+'6a.melléklet (4)'!H30+'6a.melléklet (4)'!K30+'6a.melléklet (5)'!B30+'6a.melléklet (5)'!E30+'6a.melléklet (5)'!H30+'6a.melléklet (5)'!K30+'6a.melléklet (6)'!B30+'6a.melléklet (6)'!E30+'6a.melléklet (6)'!H30+'6a.melléklet (6)'!K30+'6a.melléklet (7)'!B30+'6a.melléklet (7)'!E30+'6a.melléklet (7)'!H30+'6a.melléklet (7)'!K30+'6a.melléklet (8)'!B30+'6a.melléklet (8)'!E30+'6a.melléklet (8)'!H30+'6a.melléklet (8)'!K30+'6a.melléklet (9)'!B30+'6a.melléklet (9)'!E30+'6a.melléklet (9)'!H30+'6a.melléklet (9)'!K30+'6a.melléklet (10)'!B30+'6a.melléklet (10)'!E30</f>
        <v>3596</v>
      </c>
      <c r="L30" s="412">
        <f>SUM('[1]Terv'!C30+'[1]Terv'!F30+'[1]Terv'!I30+'[1]Terv'!L30)+'6a.melléklet (2)'!C30+'6a.melléklet (2)'!F30+'6a.melléklet (2)'!I30+'6a.melléklet (2)'!L30+'6a.melléklet (3)'!C30+'6a.melléklet (3)'!F30+'6a.melléklet (3)'!I30+'6a.melléklet (3)'!L30+'6a.melléklet (4)'!C30+'6a.melléklet (4)'!F30+'6a.melléklet (4)'!I30+'6a.melléklet (4)'!L30+'6a.melléklet (5)'!C30+'6a.melléklet (5)'!F30+'6a.melléklet (5)'!I30+'6a.melléklet (5)'!L30+'6a.melléklet (6)'!C30+'6a.melléklet (6)'!F30+'6a.melléklet (6)'!I30+'6a.melléklet (6)'!L30+'6a.melléklet (7)'!C30+'6a.melléklet (7)'!F30+'6a.melléklet (7)'!I30+'6a.melléklet (7)'!L30+'6a.melléklet (8)'!C30+'6a.melléklet (8)'!F30+'6a.melléklet (8)'!I30+'6a.melléklet (8)'!L30+'6a.melléklet (9)'!C30+'6a.melléklet (9)'!F30+'6a.melléklet (9)'!I30+'6a.melléklet (9)'!L30+'6a.melléklet (10)'!C30+'6a.melléklet (10)'!F30</f>
        <v>681</v>
      </c>
      <c r="M30" s="412">
        <f>SUM('[1]Terv'!D30+'[1]Terv'!G30+'[1]Terv'!J30+'[1]Terv'!M30)+'6a.melléklet (2)'!D30+'6a.melléklet (2)'!G30+'6a.melléklet (2)'!J30+'6a.melléklet (2)'!M30+'6a.melléklet (3)'!D30+'6a.melléklet (3)'!G30+'6a.melléklet (3)'!J30+'6a.melléklet (3)'!M30+'6a.melléklet (4)'!D30+'6a.melléklet (4)'!G30+'6a.melléklet (4)'!J30+'6a.melléklet (4)'!M30+'6a.melléklet (5)'!D30+'6a.melléklet (5)'!G30+'6a.melléklet (5)'!J30+'6a.melléklet (5)'!M30+'6a.melléklet (6)'!D30+'6a.melléklet (6)'!G30+'6a.melléklet (6)'!J30+'6a.melléklet (6)'!M30+'6a.melléklet (7)'!D30+'6a.melléklet (7)'!G30+'6a.melléklet (7)'!J30+'6a.melléklet (7)'!M30+'6a.melléklet (8)'!D30+'6a.melléklet (8)'!G30+'6a.melléklet (8)'!J30+'6a.melléklet (8)'!M30+'6a.melléklet (9)'!D30+'6a.melléklet (9)'!G30+'6a.melléklet (9)'!J30+'6a.melléklet (9)'!M30+'6a.melléklet (10)'!D30+'6a.melléklet (10)'!G30</f>
        <v>4277</v>
      </c>
    </row>
    <row r="31" spans="1:13" s="388" customFormat="1" ht="22.5">
      <c r="A31" s="908" t="s">
        <v>166</v>
      </c>
      <c r="B31" s="412">
        <v>0</v>
      </c>
      <c r="C31" s="412">
        <v>0</v>
      </c>
      <c r="D31" s="412">
        <f t="shared" si="3"/>
        <v>0</v>
      </c>
      <c r="E31" s="412">
        <v>0</v>
      </c>
      <c r="F31" s="412">
        <v>0</v>
      </c>
      <c r="G31" s="412">
        <f t="shared" si="4"/>
        <v>0</v>
      </c>
      <c r="H31" s="412"/>
      <c r="I31" s="412"/>
      <c r="J31" s="412"/>
      <c r="K31" s="412">
        <f>SUM('[1]Terv'!B31+'[1]Terv'!E31+'[1]Terv'!H31+'[1]Terv'!K31)+'6a.melléklet (2)'!B31+'6a.melléklet (2)'!E31+'6a.melléklet (2)'!H31+'6a.melléklet (2)'!K31+'6a.melléklet (3)'!B31+'6a.melléklet (3)'!E31+'6a.melléklet (3)'!H31+'6a.melléklet (3)'!K31+'6a.melléklet (4)'!B31+'6a.melléklet (4)'!E31+'6a.melléklet (4)'!H31+'6a.melléklet (4)'!K31+'6a.melléklet (5)'!B31+'6a.melléklet (5)'!E31+'6a.melléklet (5)'!H31+'6a.melléklet (5)'!K31+'6a.melléklet (6)'!B31+'6a.melléklet (6)'!E31+'6a.melléklet (6)'!H31+'6a.melléklet (6)'!K31+'6a.melléklet (7)'!B31+'6a.melléklet (7)'!E31+'6a.melléklet (7)'!H31+'6a.melléklet (7)'!K31+'6a.melléklet (8)'!B31+'6a.melléklet (8)'!E31+'6a.melléklet (8)'!H31+'6a.melléklet (8)'!K31+'6a.melléklet (9)'!B31+'6a.melléklet (9)'!E31+'6a.melléklet (9)'!H31+'6a.melléklet (9)'!K31+'6a.melléklet (10)'!B31+'6a.melléklet (10)'!E31</f>
        <v>3128</v>
      </c>
      <c r="L31" s="412">
        <f>SUM('[1]Terv'!C31+'[1]Terv'!F31+'[1]Terv'!I31+'[1]Terv'!L31)+'6a.melléklet (2)'!C31+'6a.melléklet (2)'!F31+'6a.melléklet (2)'!I31+'6a.melléklet (2)'!L31+'6a.melléklet (3)'!C31+'6a.melléklet (3)'!F31+'6a.melléklet (3)'!I31+'6a.melléklet (3)'!L31+'6a.melléklet (4)'!C31+'6a.melléklet (4)'!F31+'6a.melléklet (4)'!I31+'6a.melléklet (4)'!L31+'6a.melléklet (5)'!C31+'6a.melléklet (5)'!F31+'6a.melléklet (5)'!I31+'6a.melléklet (5)'!L31+'6a.melléklet (6)'!C31+'6a.melléklet (6)'!F31+'6a.melléklet (6)'!I31+'6a.melléklet (6)'!L31+'6a.melléklet (7)'!C31+'6a.melléklet (7)'!F31+'6a.melléklet (7)'!I31+'6a.melléklet (7)'!L31+'6a.melléklet (8)'!C31+'6a.melléklet (8)'!F31+'6a.melléklet (8)'!I31+'6a.melléklet (8)'!L31+'6a.melléklet (9)'!C31+'6a.melléklet (9)'!F31+'6a.melléklet (9)'!I31+'6a.melléklet (9)'!L31+'6a.melléklet (10)'!C31+'6a.melléklet (10)'!F31</f>
        <v>-681</v>
      </c>
      <c r="M31" s="412">
        <f>SUM('[1]Terv'!D31+'[1]Terv'!G31+'[1]Terv'!J31+'[1]Terv'!M31)+'6a.melléklet (2)'!D31+'6a.melléklet (2)'!G31+'6a.melléklet (2)'!J31+'6a.melléklet (2)'!M31+'6a.melléklet (3)'!D31+'6a.melléklet (3)'!G31+'6a.melléklet (3)'!J31+'6a.melléklet (3)'!M31+'6a.melléklet (4)'!D31+'6a.melléklet (4)'!G31+'6a.melléklet (4)'!J31+'6a.melléklet (4)'!M31+'6a.melléklet (5)'!D31+'6a.melléklet (5)'!G31+'6a.melléklet (5)'!J31+'6a.melléklet (5)'!M31+'6a.melléklet (6)'!D31+'6a.melléklet (6)'!G31+'6a.melléklet (6)'!J31+'6a.melléklet (6)'!M31+'6a.melléklet (7)'!D31+'6a.melléklet (7)'!G31+'6a.melléklet (7)'!J31+'6a.melléklet (7)'!M31+'6a.melléklet (8)'!D31+'6a.melléklet (8)'!G31+'6a.melléklet (8)'!J31+'6a.melléklet (8)'!M31+'6a.melléklet (9)'!D31+'6a.melléklet (9)'!G31+'6a.melléklet (9)'!J31+'6a.melléklet (9)'!M31+'6a.melléklet (10)'!D31+'6a.melléklet (10)'!G31</f>
        <v>2447</v>
      </c>
    </row>
    <row r="32" spans="1:13" s="388" customFormat="1" ht="12.75">
      <c r="A32" s="629" t="s">
        <v>167</v>
      </c>
      <c r="B32" s="412">
        <v>0</v>
      </c>
      <c r="C32" s="412">
        <v>0</v>
      </c>
      <c r="D32" s="412">
        <f t="shared" si="3"/>
        <v>0</v>
      </c>
      <c r="E32" s="412">
        <v>0</v>
      </c>
      <c r="F32" s="412">
        <v>0</v>
      </c>
      <c r="G32" s="412">
        <f t="shared" si="4"/>
        <v>0</v>
      </c>
      <c r="H32" s="412"/>
      <c r="I32" s="412"/>
      <c r="J32" s="412"/>
      <c r="K32" s="412">
        <f>SUM('[1]Terv'!B32+'[1]Terv'!E32+'[1]Terv'!H32+'[1]Terv'!K32)+'6a.melléklet (2)'!B32+'6a.melléklet (2)'!E32+'6a.melléklet (2)'!H32+'6a.melléklet (2)'!K32+'6a.melléklet (3)'!B32+'6a.melléklet (3)'!E32+'6a.melléklet (3)'!H32+'6a.melléklet (3)'!K32+'6a.melléklet (4)'!B32+'6a.melléklet (4)'!E32+'6a.melléklet (4)'!H32+'6a.melléklet (4)'!K32+'6a.melléklet (5)'!B32+'6a.melléklet (5)'!E32+'6a.melléklet (5)'!H32+'6a.melléklet (5)'!K32+'6a.melléklet (6)'!B32+'6a.melléklet (6)'!E32+'6a.melléklet (6)'!H32+'6a.melléklet (6)'!K32+'6a.melléklet (7)'!B32+'6a.melléklet (7)'!E32+'6a.melléklet (7)'!H32+'6a.melléklet (7)'!K32+'6a.melléklet (8)'!B32+'6a.melléklet (8)'!E32+'6a.melléklet (8)'!H32+'6a.melléklet (8)'!K32+'6a.melléklet (9)'!B32+'6a.melléklet (9)'!E32+'6a.melléklet (9)'!H32+'6a.melléklet (9)'!K32+'6a.melléklet (10)'!B32+'6a.melléklet (10)'!E32</f>
        <v>0</v>
      </c>
      <c r="L32" s="412">
        <f>SUM('[1]Terv'!C32+'[1]Terv'!F32+'[1]Terv'!I32+'[1]Terv'!L32)+'6a.melléklet (2)'!C32+'6a.melléklet (2)'!F32+'6a.melléklet (2)'!I32+'6a.melléklet (2)'!L32+'6a.melléklet (3)'!C32+'6a.melléklet (3)'!F32+'6a.melléklet (3)'!I32+'6a.melléklet (3)'!L32+'6a.melléklet (4)'!C32+'6a.melléklet (4)'!F32+'6a.melléklet (4)'!I32+'6a.melléklet (4)'!L32+'6a.melléklet (5)'!C32+'6a.melléklet (5)'!F32+'6a.melléklet (5)'!I32+'6a.melléklet (5)'!L32+'6a.melléklet (6)'!C32+'6a.melléklet (6)'!F32+'6a.melléklet (6)'!I32+'6a.melléklet (6)'!L32+'6a.melléklet (7)'!C32+'6a.melléklet (7)'!F32+'6a.melléklet (7)'!I32+'6a.melléklet (7)'!L32+'6a.melléklet (8)'!C32+'6a.melléklet (8)'!F32+'6a.melléklet (8)'!I32+'6a.melléklet (8)'!L32+'6a.melléklet (9)'!C32+'6a.melléklet (9)'!F32+'6a.melléklet (9)'!I32+'6a.melléklet (9)'!L32+'6a.melléklet (10)'!C32+'6a.melléklet (10)'!F32</f>
        <v>0</v>
      </c>
      <c r="M32" s="412">
        <f>SUM('[1]Terv'!D32+'[1]Terv'!G32+'[1]Terv'!J32+'[1]Terv'!M32)+'6a.melléklet (2)'!D32+'6a.melléklet (2)'!G32+'6a.melléklet (2)'!J32+'6a.melléklet (2)'!M32+'6a.melléklet (3)'!D32+'6a.melléklet (3)'!G32+'6a.melléklet (3)'!J32+'6a.melléklet (3)'!M32+'6a.melléklet (4)'!D32+'6a.melléklet (4)'!G32+'6a.melléklet (4)'!J32+'6a.melléklet (4)'!M32+'6a.melléklet (5)'!D32+'6a.melléklet (5)'!G32+'6a.melléklet (5)'!J32+'6a.melléklet (5)'!M32+'6a.melléklet (6)'!D32+'6a.melléklet (6)'!G32+'6a.melléklet (6)'!J32+'6a.melléklet (6)'!M32+'6a.melléklet (7)'!D32+'6a.melléklet (7)'!G32+'6a.melléklet (7)'!J32+'6a.melléklet (7)'!M32+'6a.melléklet (8)'!D32+'6a.melléklet (8)'!G32+'6a.melléklet (8)'!J32+'6a.melléklet (8)'!M32+'6a.melléklet (9)'!D32+'6a.melléklet (9)'!G32+'6a.melléklet (9)'!J32+'6a.melléklet (9)'!M32+'6a.melléklet (10)'!D32+'6a.melléklet (10)'!G32</f>
        <v>0</v>
      </c>
    </row>
    <row r="33" spans="1:13" s="388" customFormat="1" ht="12.75">
      <c r="A33" s="629" t="s">
        <v>168</v>
      </c>
      <c r="B33" s="412">
        <v>25586</v>
      </c>
      <c r="C33" s="412">
        <v>0</v>
      </c>
      <c r="D33" s="412">
        <f t="shared" si="3"/>
        <v>25586</v>
      </c>
      <c r="E33" s="412">
        <v>167000</v>
      </c>
      <c r="F33" s="412">
        <v>0</v>
      </c>
      <c r="G33" s="412">
        <f t="shared" si="4"/>
        <v>167000</v>
      </c>
      <c r="H33" s="412"/>
      <c r="I33" s="412"/>
      <c r="J33" s="412"/>
      <c r="K33" s="412">
        <f>SUM('[1]Terv'!B33+'[1]Terv'!E33+'[1]Terv'!H33+'[1]Terv'!K33)+'6a.melléklet (2)'!B33+'6a.melléklet (2)'!E33+'6a.melléklet (2)'!H33+'6a.melléklet (2)'!K33+'6a.melléklet (3)'!B33+'6a.melléklet (3)'!E33+'6a.melléklet (3)'!H33+'6a.melléklet (3)'!K33+'6a.melléklet (4)'!B33+'6a.melléklet (4)'!E33+'6a.melléklet (4)'!H33+'6a.melléklet (4)'!K33+'6a.melléklet (5)'!B33+'6a.melléklet (5)'!E33+'6a.melléklet (5)'!H33+'6a.melléklet (5)'!K33+'6a.melléklet (6)'!B33+'6a.melléklet (6)'!E33+'6a.melléklet (6)'!H33+'6a.melléklet (6)'!K33+'6a.melléklet (7)'!B33+'6a.melléklet (7)'!E33+'6a.melléklet (7)'!H33+'6a.melléklet (7)'!K33+'6a.melléklet (8)'!B33+'6a.melléklet (8)'!E33+'6a.melléklet (8)'!H33+'6a.melléklet (8)'!K33+'6a.melléklet (9)'!B33+'6a.melléklet (9)'!E33+'6a.melléklet (9)'!H33+'6a.melléklet (9)'!K33+'6a.melléklet (10)'!B33+'6a.melléklet (10)'!E33</f>
        <v>448429</v>
      </c>
      <c r="L33" s="412">
        <f>SUM('[1]Terv'!C33+'[1]Terv'!F33+'[1]Terv'!I33+'[1]Terv'!L33)+'6a.melléklet (2)'!C33+'6a.melléklet (2)'!F33+'6a.melléklet (2)'!I33+'6a.melléklet (2)'!L33+'6a.melléklet (3)'!C33+'6a.melléklet (3)'!F33+'6a.melléklet (3)'!I33+'6a.melléklet (3)'!L33+'6a.melléklet (4)'!C33+'6a.melléklet (4)'!F33+'6a.melléklet (4)'!I33+'6a.melléklet (4)'!L33+'6a.melléklet (5)'!C33+'6a.melléklet (5)'!F33+'6a.melléklet (5)'!I33+'6a.melléklet (5)'!L33+'6a.melléklet (6)'!C33+'6a.melléklet (6)'!F33+'6a.melléklet (6)'!I33+'6a.melléklet (6)'!L33+'6a.melléklet (7)'!C33+'6a.melléklet (7)'!F33+'6a.melléklet (7)'!I33+'6a.melléklet (7)'!L33+'6a.melléklet (8)'!C33+'6a.melléklet (8)'!F33+'6a.melléklet (8)'!I33+'6a.melléklet (8)'!L33+'6a.melléklet (9)'!C33+'6a.melléklet (9)'!F33+'6a.melléklet (9)'!I33+'6a.melléklet (9)'!L33+'6a.melléklet (10)'!C33+'6a.melléklet (10)'!F33</f>
        <v>0</v>
      </c>
      <c r="M33" s="412">
        <f>SUM('[1]Terv'!D33+'[1]Terv'!G33+'[1]Terv'!J33+'[1]Terv'!M33)+'6a.melléklet (2)'!D33+'6a.melléklet (2)'!G33+'6a.melléklet (2)'!J33+'6a.melléklet (2)'!M33+'6a.melléklet (3)'!D33+'6a.melléklet (3)'!G33+'6a.melléklet (3)'!J33+'6a.melléklet (3)'!M33+'6a.melléklet (4)'!D33+'6a.melléklet (4)'!G33+'6a.melléklet (4)'!J33+'6a.melléklet (4)'!M33+'6a.melléklet (5)'!D33+'6a.melléklet (5)'!G33+'6a.melléklet (5)'!J33+'6a.melléklet (5)'!M33+'6a.melléklet (6)'!D33+'6a.melléklet (6)'!G33+'6a.melléklet (6)'!J33+'6a.melléklet (6)'!M33+'6a.melléklet (7)'!D33+'6a.melléklet (7)'!G33+'6a.melléklet (7)'!J33+'6a.melléklet (7)'!M33+'6a.melléklet (8)'!D33+'6a.melléklet (8)'!G33+'6a.melléklet (8)'!J33+'6a.melléklet (8)'!M33+'6a.melléklet (9)'!D33+'6a.melléklet (9)'!G33+'6a.melléklet (9)'!J33+'6a.melléklet (9)'!M33+'6a.melléklet (10)'!D33+'6a.melléklet (10)'!G33</f>
        <v>448429</v>
      </c>
    </row>
    <row r="34" spans="1:13" s="388" customFormat="1" ht="12.75">
      <c r="A34" s="629" t="s">
        <v>169</v>
      </c>
      <c r="B34" s="412">
        <f aca="true" t="shared" si="5" ref="B34:M34">+B23-B25-B26-B27-B28-B30-B31-B32-B33-B29</f>
        <v>341096</v>
      </c>
      <c r="C34" s="412">
        <f t="shared" si="5"/>
        <v>-555</v>
      </c>
      <c r="D34" s="412">
        <f t="shared" si="5"/>
        <v>340541</v>
      </c>
      <c r="E34" s="412">
        <f t="shared" si="5"/>
        <v>398655</v>
      </c>
      <c r="F34" s="412">
        <f t="shared" si="5"/>
        <v>-2708</v>
      </c>
      <c r="G34" s="412">
        <f t="shared" si="5"/>
        <v>395947</v>
      </c>
      <c r="H34" s="412">
        <f t="shared" si="5"/>
        <v>0</v>
      </c>
      <c r="I34" s="412">
        <f t="shared" si="5"/>
        <v>0</v>
      </c>
      <c r="J34" s="412">
        <f t="shared" si="5"/>
        <v>0</v>
      </c>
      <c r="K34" s="412">
        <f t="shared" si="5"/>
        <v>5962646</v>
      </c>
      <c r="L34" s="412">
        <f t="shared" si="5"/>
        <v>21745</v>
      </c>
      <c r="M34" s="412">
        <f t="shared" si="5"/>
        <v>5984391</v>
      </c>
    </row>
    <row r="35" spans="1:14" ht="12.75">
      <c r="A35" s="909" t="s">
        <v>211</v>
      </c>
      <c r="B35" s="66">
        <v>86040</v>
      </c>
      <c r="C35" s="66">
        <f>+C36</f>
        <v>517</v>
      </c>
      <c r="D35" s="66">
        <f>+B35+C35</f>
        <v>86557</v>
      </c>
      <c r="E35" s="66">
        <v>10773</v>
      </c>
      <c r="F35" s="66"/>
      <c r="G35" s="66">
        <f>+E35+F35</f>
        <v>10773</v>
      </c>
      <c r="H35" s="66"/>
      <c r="I35" s="66"/>
      <c r="J35" s="66"/>
      <c r="K35" s="66">
        <f>SUM('[1]Terv'!B35+'[1]Terv'!E35+'[1]Terv'!H35+'[1]Terv'!K35)+'6a.melléklet (2)'!B35+'6a.melléklet (2)'!E35+'6a.melléklet (2)'!H35+'6a.melléklet (2)'!K35+'6a.melléklet (3)'!B35+'6a.melléklet (3)'!E35+'6a.melléklet (3)'!H35+'6a.melléklet (3)'!K35+'6a.melléklet (4)'!B35+'6a.melléklet (4)'!E35+'6a.melléklet (4)'!H35+'6a.melléklet (4)'!K35+'6a.melléklet (5)'!B35+'6a.melléklet (5)'!E35+'6a.melléklet (5)'!H35+'6a.melléklet (5)'!K35+'6a.melléklet (6)'!B35+'6a.melléklet (6)'!E35+'6a.melléklet (6)'!H35+'6a.melléklet (6)'!K35+'6a.melléklet (7)'!B35+'6a.melléklet (7)'!E35+'6a.melléklet (7)'!H35+'6a.melléklet (7)'!K35+'6a.melléklet (8)'!B35+'6a.melléklet (8)'!E35+'6a.melléklet (8)'!H35+'6a.melléklet (8)'!K35+'6a.melléklet (9)'!B35+'6a.melléklet (9)'!E35+'6a.melléklet (9)'!H35+'6a.melléklet (9)'!K35+'6a.melléklet (10)'!B35+'6a.melléklet (10)'!E35</f>
        <v>2080559</v>
      </c>
      <c r="L35" s="66">
        <f>SUM('[1]Terv'!C35+'[1]Terv'!F35+'[1]Terv'!I35+'[1]Terv'!L35)+'6a.melléklet (2)'!C35+'6a.melléklet (2)'!F35+'6a.melléklet (2)'!I35+'6a.melléklet (2)'!L35+'6a.melléklet (3)'!C35+'6a.melléklet (3)'!F35+'6a.melléklet (3)'!I35+'6a.melléklet (3)'!L35+'6a.melléklet (4)'!C35+'6a.melléklet (4)'!F35+'6a.melléklet (4)'!I35+'6a.melléklet (4)'!L35+'6a.melléklet (5)'!C35+'6a.melléklet (5)'!F35+'6a.melléklet (5)'!I35+'6a.melléklet (5)'!L35+'6a.melléklet (6)'!C35+'6a.melléklet (6)'!F35+'6a.melléklet (6)'!I35+'6a.melléklet (6)'!L35+'6a.melléklet (7)'!C35+'6a.melléklet (7)'!F35+'6a.melléklet (7)'!I35+'6a.melléklet (7)'!L35+'6a.melléklet (8)'!C35+'6a.melléklet (8)'!F35+'6a.melléklet (8)'!I35+'6a.melléklet (8)'!L35+'6a.melléklet (9)'!C35+'6a.melléklet (9)'!F35+'6a.melléklet (9)'!I35+'6a.melléklet (9)'!L35+'6a.melléklet (10)'!C35+'6a.melléklet (10)'!F35</f>
        <v>5307</v>
      </c>
      <c r="M35" s="66">
        <f>SUM('[1]Terv'!D35+'[1]Terv'!G35+'[1]Terv'!J35+'[1]Terv'!M35)+'6a.melléklet (2)'!D35+'6a.melléklet (2)'!G35+'6a.melléklet (2)'!J35+'6a.melléklet (2)'!M35+'6a.melléklet (3)'!D35+'6a.melléklet (3)'!G35+'6a.melléklet (3)'!J35+'6a.melléklet (3)'!M35+'6a.melléklet (4)'!D35+'6a.melléklet (4)'!G35+'6a.melléklet (4)'!J35+'6a.melléklet (4)'!M35+'6a.melléklet (5)'!D35+'6a.melléklet (5)'!G35+'6a.melléklet (5)'!J35+'6a.melléklet (5)'!M35+'6a.melléklet (6)'!D35+'6a.melléklet (6)'!G35+'6a.melléklet (6)'!J35+'6a.melléklet (6)'!M35+'6a.melléklet (7)'!D35+'6a.melléklet (7)'!G35+'6a.melléklet (7)'!J35+'6a.melléklet (7)'!M35+'6a.melléklet (8)'!D35+'6a.melléklet (8)'!G35+'6a.melléklet (8)'!J35+'6a.melléklet (8)'!M35+'6a.melléklet (9)'!D35+'6a.melléklet (9)'!G35+'6a.melléklet (9)'!J35+'6a.melléklet (9)'!M35+'6a.melléklet (10)'!D35+'6a.melléklet (10)'!G35</f>
        <v>2085866</v>
      </c>
      <c r="N35" s="183"/>
    </row>
    <row r="36" spans="1:13" ht="22.5">
      <c r="A36" s="905" t="s">
        <v>686</v>
      </c>
      <c r="B36" s="66"/>
      <c r="C36" s="66">
        <v>517</v>
      </c>
      <c r="D36" s="66">
        <f>+B36+C36</f>
        <v>517</v>
      </c>
      <c r="E36" s="66"/>
      <c r="F36" s="66"/>
      <c r="G36" s="66">
        <f>+E36+F36</f>
        <v>0</v>
      </c>
      <c r="H36" s="66"/>
      <c r="I36" s="66"/>
      <c r="J36" s="66"/>
      <c r="K36" s="66">
        <f>SUM('[1]Terv'!B36+'[1]Terv'!E36+'[1]Terv'!H36+'[1]Terv'!K36)+'6a.melléklet (2)'!B36+'6a.melléklet (2)'!E36+'6a.melléklet (2)'!H36+'6a.melléklet (2)'!K36+'6a.melléklet (3)'!B36+'6a.melléklet (3)'!E36+'6a.melléklet (3)'!H36+'6a.melléklet (3)'!K36+'6a.melléklet (4)'!B36+'6a.melléklet (4)'!E36+'6a.melléklet (4)'!H36+'6a.melléklet (4)'!K36+'6a.melléklet (5)'!B36+'6a.melléklet (5)'!E36+'6a.melléklet (5)'!H36+'6a.melléklet (5)'!K36+'6a.melléklet (6)'!B36+'6a.melléklet (6)'!E36+'6a.melléklet (6)'!H36+'6a.melléklet (6)'!K36+'6a.melléklet (7)'!B36+'6a.melléklet (7)'!E36+'6a.melléklet (7)'!H36+'6a.melléklet (7)'!K36+'6a.melléklet (8)'!B36+'6a.melléklet (8)'!E36+'6a.melléklet (8)'!H36+'6a.melléklet (8)'!K36+'6a.melléklet (9)'!B36+'6a.melléklet (9)'!E36+'6a.melléklet (9)'!H36+'6a.melléklet (9)'!K36+'6a.melléklet (10)'!B36+'6a.melléklet (10)'!E36</f>
        <v>54060</v>
      </c>
      <c r="L36" s="66">
        <f>SUM('[1]Terv'!C36+'[1]Terv'!F36+'[1]Terv'!I36+'[1]Terv'!L36)+'6a.melléklet (2)'!C36+'6a.melléklet (2)'!F36+'6a.melléklet (2)'!I36+'6a.melléklet (2)'!L36+'6a.melléklet (3)'!C36+'6a.melléklet (3)'!F36+'6a.melléklet (3)'!I36+'6a.melléklet (3)'!L36+'6a.melléklet (4)'!C36+'6a.melléklet (4)'!F36+'6a.melléklet (4)'!I36+'6a.melléklet (4)'!L36+'6a.melléklet (5)'!C36+'6a.melléklet (5)'!F36+'6a.melléklet (5)'!I36+'6a.melléklet (5)'!L36+'6a.melléklet (6)'!C36+'6a.melléklet (6)'!F36+'6a.melléklet (6)'!I36+'6a.melléklet (6)'!L36+'6a.melléklet (7)'!C36+'6a.melléklet (7)'!F36+'6a.melléklet (7)'!I36+'6a.melléklet (7)'!L36+'6a.melléklet (8)'!C36+'6a.melléklet (8)'!F36+'6a.melléklet (8)'!I36+'6a.melléklet (8)'!L36+'6a.melléklet (9)'!C36+'6a.melléklet (9)'!F36+'6a.melléklet (9)'!I36+'6a.melléklet (9)'!L36+'6a.melléklet (10)'!C36+'6a.melléklet (10)'!F36</f>
        <v>10497</v>
      </c>
      <c r="M36" s="66">
        <f>SUM('[1]Terv'!D36+'[1]Terv'!G36+'[1]Terv'!J36+'[1]Terv'!M36)+'6a.melléklet (2)'!D36+'6a.melléklet (2)'!G36+'6a.melléklet (2)'!J36+'6a.melléklet (2)'!M36+'6a.melléklet (3)'!D36+'6a.melléklet (3)'!G36+'6a.melléklet (3)'!J36+'6a.melléklet (3)'!M36+'6a.melléklet (4)'!D36+'6a.melléklet (4)'!G36+'6a.melléklet (4)'!J36+'6a.melléklet (4)'!M36+'6a.melléklet (5)'!D36+'6a.melléklet (5)'!G36+'6a.melléklet (5)'!J36+'6a.melléklet (5)'!M36+'6a.melléklet (6)'!D36+'6a.melléklet (6)'!G36+'6a.melléklet (6)'!J36+'6a.melléklet (6)'!M36+'6a.melléklet (7)'!D36+'6a.melléklet (7)'!G36+'6a.melléklet (7)'!J36+'6a.melléklet (7)'!M36+'6a.melléklet (8)'!D36+'6a.melléklet (8)'!G36+'6a.melléklet (8)'!J36+'6a.melléklet (8)'!M36+'6a.melléklet (9)'!D36+'6a.melléklet (9)'!G36+'6a.melléklet (9)'!J36+'6a.melléklet (9)'!M36+'6a.melléklet (10)'!D36+'6a.melléklet (10)'!G36</f>
        <v>64557</v>
      </c>
    </row>
    <row r="37" spans="1:13" s="177" customFormat="1" ht="12.75">
      <c r="A37" s="906" t="s">
        <v>88</v>
      </c>
      <c r="B37" s="67">
        <f aca="true" t="shared" si="6" ref="B37:M37">SUM(B25:B34)</f>
        <v>398615</v>
      </c>
      <c r="C37" s="67">
        <f t="shared" si="6"/>
        <v>-555</v>
      </c>
      <c r="D37" s="67">
        <f t="shared" si="6"/>
        <v>398060</v>
      </c>
      <c r="E37" s="67">
        <f t="shared" si="6"/>
        <v>584104</v>
      </c>
      <c r="F37" s="67">
        <f t="shared" si="6"/>
        <v>-2708</v>
      </c>
      <c r="G37" s="67">
        <f t="shared" si="6"/>
        <v>581396</v>
      </c>
      <c r="H37" s="67">
        <f t="shared" si="6"/>
        <v>0</v>
      </c>
      <c r="I37" s="67">
        <f t="shared" si="6"/>
        <v>0</v>
      </c>
      <c r="J37" s="67">
        <f t="shared" si="6"/>
        <v>0</v>
      </c>
      <c r="K37" s="67">
        <f t="shared" si="6"/>
        <v>6697270</v>
      </c>
      <c r="L37" s="67">
        <f t="shared" si="6"/>
        <v>21745</v>
      </c>
      <c r="M37" s="67">
        <f t="shared" si="6"/>
        <v>6719015</v>
      </c>
    </row>
    <row r="40" ht="12.75">
      <c r="L40" s="125"/>
    </row>
  </sheetData>
  <mergeCells count="7">
    <mergeCell ref="E6:G6"/>
    <mergeCell ref="E7:G7"/>
    <mergeCell ref="E8:G8"/>
    <mergeCell ref="K8:M8"/>
    <mergeCell ref="H6:J6"/>
    <mergeCell ref="H7:J7"/>
    <mergeCell ref="H8:J8"/>
  </mergeCells>
  <printOptions horizontalCentered="1"/>
  <pageMargins left="0.3937007874015748" right="0.3937007874015748" top="0" bottom="0" header="0" footer="0"/>
  <pageSetup horizontalDpi="300" verticalDpi="300" orientation="landscape" paperSize="9" r:id="rId1"/>
  <headerFooter alignWithMargins="0">
    <oddHeader>&amp;C&amp;"Times New Roman,Normál"10&amp;R&amp;"Times New Roman,Normál"6/a. számú melléklet</oddHeader>
    <oddFooter>&amp;L&amp;"Times New Roman,Normál"&amp;8&amp;F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xSplit="1" ySplit="9" topLeftCell="B28" activePane="bottomRight" state="frozen"/>
      <selection pane="topLeft" activeCell="K6" sqref="K6"/>
      <selection pane="topRight" activeCell="K6" sqref="K6"/>
      <selection pane="bottomLeft" activeCell="K6" sqref="K6"/>
      <selection pane="bottomRight" activeCell="J8" sqref="J8"/>
    </sheetView>
  </sheetViews>
  <sheetFormatPr defaultColWidth="9.140625" defaultRowHeight="12.75"/>
  <cols>
    <col min="1" max="1" width="31.140625" style="26" customWidth="1"/>
    <col min="2" max="2" width="12.140625" style="26" customWidth="1"/>
    <col min="3" max="3" width="10.140625" style="26" customWidth="1"/>
    <col min="4" max="4" width="12.00390625" style="26" bestFit="1" customWidth="1"/>
    <col min="5" max="5" width="12.00390625" style="26" customWidth="1"/>
    <col min="6" max="6" width="9.7109375" style="26" customWidth="1"/>
    <col min="7" max="7" width="11.8515625" style="26" customWidth="1"/>
    <col min="8" max="8" width="12.421875" style="26" customWidth="1"/>
    <col min="9" max="9" width="9.8515625" style="26" customWidth="1"/>
    <col min="10" max="10" width="12.00390625" style="26" customWidth="1"/>
    <col min="11" max="16384" width="9.140625" style="61" customWidth="1"/>
  </cols>
  <sheetData>
    <row r="1" spans="1:10" s="461" customFormat="1" ht="15.75">
      <c r="A1" s="459" t="s">
        <v>140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s="333" customFormat="1" ht="12">
      <c r="A2" s="485"/>
      <c r="B2" s="485"/>
      <c r="C2" s="485"/>
      <c r="D2" s="485"/>
      <c r="E2" s="485"/>
      <c r="F2" s="485"/>
      <c r="G2" s="485"/>
      <c r="H2" s="485"/>
      <c r="I2" s="485"/>
      <c r="J2" s="485"/>
    </row>
    <row r="3" spans="1:10" s="333" customFormat="1" ht="12">
      <c r="A3" s="486" t="s">
        <v>141</v>
      </c>
      <c r="B3" s="487">
        <v>1</v>
      </c>
      <c r="C3" s="488"/>
      <c r="D3" s="489"/>
      <c r="E3" s="487">
        <v>2</v>
      </c>
      <c r="F3" s="488"/>
      <c r="G3" s="489"/>
      <c r="H3" s="487">
        <v>3</v>
      </c>
      <c r="I3" s="488"/>
      <c r="J3" s="489"/>
    </row>
    <row r="4" spans="1:10" s="333" customFormat="1" ht="12">
      <c r="A4" s="486" t="s">
        <v>246</v>
      </c>
      <c r="E4" s="486"/>
      <c r="F4" s="387"/>
      <c r="G4" s="385"/>
      <c r="H4" s="384"/>
      <c r="I4" s="387"/>
      <c r="J4" s="385"/>
    </row>
    <row r="5" spans="1:10" s="333" customFormat="1" ht="12">
      <c r="A5" s="486" t="s">
        <v>142</v>
      </c>
      <c r="B5" s="944" t="s">
        <v>246</v>
      </c>
      <c r="C5" s="915"/>
      <c r="D5" s="916"/>
      <c r="E5" s="487" t="s">
        <v>143</v>
      </c>
      <c r="F5" s="488"/>
      <c r="G5" s="489"/>
      <c r="H5" s="487" t="s">
        <v>144</v>
      </c>
      <c r="I5" s="488"/>
      <c r="J5" s="489"/>
    </row>
    <row r="6" spans="1:10" s="333" customFormat="1" ht="12.75" customHeight="1">
      <c r="A6" s="486" t="s">
        <v>145</v>
      </c>
      <c r="B6" s="944">
        <v>851275</v>
      </c>
      <c r="C6" s="915"/>
      <c r="D6" s="916"/>
      <c r="E6" s="944">
        <v>853244</v>
      </c>
      <c r="F6" s="915"/>
      <c r="G6" s="916"/>
      <c r="H6" s="944">
        <v>853244</v>
      </c>
      <c r="I6" s="915"/>
      <c r="J6" s="916"/>
    </row>
    <row r="7" spans="1:10" s="333" customFormat="1" ht="12">
      <c r="A7" s="490" t="s">
        <v>146</v>
      </c>
      <c r="B7" s="915" t="s">
        <v>229</v>
      </c>
      <c r="C7" s="915"/>
      <c r="D7" s="916"/>
      <c r="E7" s="491" t="s">
        <v>147</v>
      </c>
      <c r="F7" s="491"/>
      <c r="G7" s="492"/>
      <c r="H7" s="491" t="s">
        <v>147</v>
      </c>
      <c r="I7" s="491"/>
      <c r="J7" s="492"/>
    </row>
    <row r="8" spans="1:10" s="441" customFormat="1" ht="37.5" customHeight="1">
      <c r="A8" s="703" t="s">
        <v>148</v>
      </c>
      <c r="B8" s="440" t="s">
        <v>637</v>
      </c>
      <c r="C8" s="440" t="s">
        <v>597</v>
      </c>
      <c r="D8" s="622" t="s">
        <v>679</v>
      </c>
      <c r="E8" s="440" t="s">
        <v>637</v>
      </c>
      <c r="F8" s="440" t="s">
        <v>597</v>
      </c>
      <c r="G8" s="622" t="s">
        <v>679</v>
      </c>
      <c r="H8" s="440" t="s">
        <v>637</v>
      </c>
      <c r="I8" s="440" t="s">
        <v>597</v>
      </c>
      <c r="J8" s="622" t="s">
        <v>679</v>
      </c>
    </row>
    <row r="9" spans="1:10" s="333" customFormat="1" ht="9.75" customHeight="1">
      <c r="A9" s="334" t="s">
        <v>247</v>
      </c>
      <c r="B9" s="335" t="s">
        <v>248</v>
      </c>
      <c r="C9" s="334" t="s">
        <v>249</v>
      </c>
      <c r="D9" s="334" t="s">
        <v>95</v>
      </c>
      <c r="E9" s="334" t="s">
        <v>96</v>
      </c>
      <c r="F9" s="334" t="s">
        <v>97</v>
      </c>
      <c r="G9" s="334" t="s">
        <v>98</v>
      </c>
      <c r="H9" s="334" t="s">
        <v>99</v>
      </c>
      <c r="I9" s="334" t="s">
        <v>100</v>
      </c>
      <c r="J9" s="334" t="s">
        <v>101</v>
      </c>
    </row>
    <row r="10" spans="1:10" s="333" customFormat="1" ht="12">
      <c r="A10" s="382" t="s">
        <v>149</v>
      </c>
      <c r="B10" s="726">
        <v>285.5</v>
      </c>
      <c r="C10" s="726">
        <v>0</v>
      </c>
      <c r="D10" s="726">
        <f>SUM(B10:C10)</f>
        <v>285.5</v>
      </c>
      <c r="E10" s="726">
        <v>22</v>
      </c>
      <c r="F10" s="726">
        <v>0</v>
      </c>
      <c r="G10" s="726">
        <f>SUM(E10:F10)</f>
        <v>22</v>
      </c>
      <c r="H10" s="726">
        <v>16</v>
      </c>
      <c r="I10" s="726">
        <v>0</v>
      </c>
      <c r="J10" s="726">
        <f>SUM(H10:I10)</f>
        <v>16</v>
      </c>
    </row>
    <row r="11" spans="1:10" s="483" customFormat="1" ht="12">
      <c r="A11" s="380" t="s">
        <v>150</v>
      </c>
      <c r="B11" s="381"/>
      <c r="C11" s="381"/>
      <c r="D11" s="383"/>
      <c r="E11" s="381"/>
      <c r="F11" s="381"/>
      <c r="G11" s="383"/>
      <c r="H11" s="493"/>
      <c r="I11" s="381"/>
      <c r="J11" s="383"/>
    </row>
    <row r="12" spans="1:10" s="333" customFormat="1" ht="12">
      <c r="A12" s="382" t="s">
        <v>151</v>
      </c>
      <c r="B12" s="383">
        <v>641590</v>
      </c>
      <c r="C12" s="383">
        <v>8620</v>
      </c>
      <c r="D12" s="383">
        <f aca="true" t="shared" si="0" ref="D12:D36">SUM(B12:C12)</f>
        <v>650210</v>
      </c>
      <c r="E12" s="383">
        <v>55626</v>
      </c>
      <c r="F12" s="383">
        <v>824</v>
      </c>
      <c r="G12" s="383">
        <f aca="true" t="shared" si="1" ref="G12:G36">SUM(E12:F12)</f>
        <v>56450</v>
      </c>
      <c r="H12" s="383">
        <v>41031</v>
      </c>
      <c r="I12" s="383">
        <v>637</v>
      </c>
      <c r="J12" s="383">
        <f aca="true" t="shared" si="2" ref="J12:J36">SUM(H12:I12)</f>
        <v>41668</v>
      </c>
    </row>
    <row r="13" spans="1:10" s="333" customFormat="1" ht="12">
      <c r="A13" s="382" t="s">
        <v>519</v>
      </c>
      <c r="B13" s="383">
        <v>204196</v>
      </c>
      <c r="C13" s="383">
        <v>2759</v>
      </c>
      <c r="D13" s="383">
        <f t="shared" si="0"/>
        <v>206955</v>
      </c>
      <c r="E13" s="383">
        <v>17233</v>
      </c>
      <c r="F13" s="383">
        <v>264</v>
      </c>
      <c r="G13" s="383">
        <f t="shared" si="1"/>
        <v>17497</v>
      </c>
      <c r="H13" s="383">
        <v>12669</v>
      </c>
      <c r="I13" s="383">
        <v>204</v>
      </c>
      <c r="J13" s="383">
        <f t="shared" si="2"/>
        <v>12873</v>
      </c>
    </row>
    <row r="14" spans="1:10" s="333" customFormat="1" ht="12">
      <c r="A14" s="382" t="s">
        <v>520</v>
      </c>
      <c r="B14" s="383">
        <v>400078</v>
      </c>
      <c r="C14" s="383">
        <v>-9875</v>
      </c>
      <c r="D14" s="383">
        <f t="shared" si="0"/>
        <v>390203</v>
      </c>
      <c r="E14" s="383">
        <v>28033</v>
      </c>
      <c r="F14" s="383">
        <v>0</v>
      </c>
      <c r="G14" s="383">
        <f t="shared" si="1"/>
        <v>28033</v>
      </c>
      <c r="H14" s="383">
        <v>9370</v>
      </c>
      <c r="I14" s="383">
        <v>0</v>
      </c>
      <c r="J14" s="383">
        <f t="shared" si="2"/>
        <v>9370</v>
      </c>
    </row>
    <row r="15" spans="1:10" s="441" customFormat="1" ht="25.5" customHeight="1">
      <c r="A15" s="438" t="s">
        <v>490</v>
      </c>
      <c r="B15" s="437">
        <v>8118</v>
      </c>
      <c r="C15" s="437">
        <v>19015</v>
      </c>
      <c r="D15" s="437">
        <f t="shared" si="0"/>
        <v>27133</v>
      </c>
      <c r="E15" s="437">
        <v>0</v>
      </c>
      <c r="F15" s="437">
        <v>0</v>
      </c>
      <c r="G15" s="437">
        <f t="shared" si="1"/>
        <v>0</v>
      </c>
      <c r="H15" s="437">
        <v>0</v>
      </c>
      <c r="I15" s="437">
        <v>0</v>
      </c>
      <c r="J15" s="437">
        <f t="shared" si="2"/>
        <v>0</v>
      </c>
    </row>
    <row r="16" spans="1:10" s="333" customFormat="1" ht="12">
      <c r="A16" s="382" t="s">
        <v>521</v>
      </c>
      <c r="B16" s="383">
        <v>0</v>
      </c>
      <c r="C16" s="383">
        <v>0</v>
      </c>
      <c r="D16" s="383">
        <f t="shared" si="0"/>
        <v>0</v>
      </c>
      <c r="E16" s="383">
        <v>0</v>
      </c>
      <c r="F16" s="383">
        <v>0</v>
      </c>
      <c r="G16" s="383">
        <f t="shared" si="1"/>
        <v>0</v>
      </c>
      <c r="H16" s="383">
        <v>0</v>
      </c>
      <c r="I16" s="383">
        <v>0</v>
      </c>
      <c r="J16" s="383">
        <f t="shared" si="2"/>
        <v>0</v>
      </c>
    </row>
    <row r="17" spans="1:10" s="483" customFormat="1" ht="12">
      <c r="A17" s="380" t="s">
        <v>522</v>
      </c>
      <c r="B17" s="381">
        <f>SUM(B12:B16)</f>
        <v>1253982</v>
      </c>
      <c r="C17" s="381">
        <f>SUM(C12:C16)</f>
        <v>20519</v>
      </c>
      <c r="D17" s="704">
        <f t="shared" si="0"/>
        <v>1274501</v>
      </c>
      <c r="E17" s="381">
        <f>SUM(E12:E16)</f>
        <v>100892</v>
      </c>
      <c r="F17" s="381">
        <f>SUM(F12:F16)</f>
        <v>1088</v>
      </c>
      <c r="G17" s="704">
        <f t="shared" si="1"/>
        <v>101980</v>
      </c>
      <c r="H17" s="381">
        <f>SUM(H12:H16)</f>
        <v>63070</v>
      </c>
      <c r="I17" s="381">
        <f>SUM(I12:I16)</f>
        <v>841</v>
      </c>
      <c r="J17" s="704">
        <f t="shared" si="2"/>
        <v>63911</v>
      </c>
    </row>
    <row r="18" spans="1:10" s="333" customFormat="1" ht="12">
      <c r="A18" s="382" t="s">
        <v>171</v>
      </c>
      <c r="B18" s="383">
        <v>93840</v>
      </c>
      <c r="C18" s="383">
        <v>0</v>
      </c>
      <c r="D18" s="383">
        <f t="shared" si="0"/>
        <v>93840</v>
      </c>
      <c r="E18" s="383">
        <v>0</v>
      </c>
      <c r="F18" s="383">
        <v>2732</v>
      </c>
      <c r="G18" s="383">
        <f t="shared" si="1"/>
        <v>2732</v>
      </c>
      <c r="H18" s="383">
        <v>0</v>
      </c>
      <c r="I18" s="383">
        <v>0</v>
      </c>
      <c r="J18" s="383">
        <f t="shared" si="2"/>
        <v>0</v>
      </c>
    </row>
    <row r="19" spans="1:10" s="333" customFormat="1" ht="12">
      <c r="A19" s="382" t="s">
        <v>172</v>
      </c>
      <c r="B19" s="383">
        <v>10000</v>
      </c>
      <c r="C19" s="383">
        <v>0</v>
      </c>
      <c r="D19" s="383">
        <f t="shared" si="0"/>
        <v>10000</v>
      </c>
      <c r="E19" s="383">
        <v>5000</v>
      </c>
      <c r="F19" s="383">
        <v>0</v>
      </c>
      <c r="G19" s="383">
        <f t="shared" si="1"/>
        <v>5000</v>
      </c>
      <c r="H19" s="383">
        <v>0</v>
      </c>
      <c r="I19" s="383">
        <v>0</v>
      </c>
      <c r="J19" s="383">
        <f t="shared" si="2"/>
        <v>0</v>
      </c>
    </row>
    <row r="20" spans="1:10" s="441" customFormat="1" ht="27" customHeight="1">
      <c r="A20" s="438" t="s">
        <v>170</v>
      </c>
      <c r="B20" s="437">
        <v>6600</v>
      </c>
      <c r="C20" s="437">
        <v>860</v>
      </c>
      <c r="D20" s="437">
        <f t="shared" si="0"/>
        <v>7460</v>
      </c>
      <c r="E20" s="437">
        <v>0</v>
      </c>
      <c r="F20" s="437">
        <v>0</v>
      </c>
      <c r="G20" s="437">
        <f t="shared" si="1"/>
        <v>0</v>
      </c>
      <c r="H20" s="437">
        <v>0</v>
      </c>
      <c r="I20" s="437">
        <v>0</v>
      </c>
      <c r="J20" s="437">
        <f t="shared" si="2"/>
        <v>0</v>
      </c>
    </row>
    <row r="21" spans="1:10" s="483" customFormat="1" ht="12">
      <c r="A21" s="380" t="s">
        <v>85</v>
      </c>
      <c r="B21" s="381">
        <f>SUM(B18:B20)</f>
        <v>110440</v>
      </c>
      <c r="C21" s="381">
        <f>SUM(C18:C20)</f>
        <v>860</v>
      </c>
      <c r="D21" s="704">
        <f t="shared" si="0"/>
        <v>111300</v>
      </c>
      <c r="E21" s="381">
        <f>SUM(E18:E20)</f>
        <v>5000</v>
      </c>
      <c r="F21" s="381">
        <f>SUM(F18:F20)</f>
        <v>2732</v>
      </c>
      <c r="G21" s="704">
        <f t="shared" si="1"/>
        <v>7732</v>
      </c>
      <c r="H21" s="381">
        <f>SUM(H18:H20)</f>
        <v>0</v>
      </c>
      <c r="I21" s="381">
        <f>SUM(I18:I20)</f>
        <v>0</v>
      </c>
      <c r="J21" s="704">
        <f t="shared" si="2"/>
        <v>0</v>
      </c>
    </row>
    <row r="22" spans="1:10" s="887" customFormat="1" ht="13.5">
      <c r="A22" s="884" t="s">
        <v>86</v>
      </c>
      <c r="B22" s="69">
        <f>SUM(B21,B17)</f>
        <v>1364422</v>
      </c>
      <c r="C22" s="69">
        <f>SUM(C21,C17)</f>
        <v>21379</v>
      </c>
      <c r="D22" s="886">
        <f t="shared" si="0"/>
        <v>1385801</v>
      </c>
      <c r="E22" s="69">
        <f>SUM(E21,E17)</f>
        <v>105892</v>
      </c>
      <c r="F22" s="69">
        <f>SUM(F21,F17)</f>
        <v>3820</v>
      </c>
      <c r="G22" s="886">
        <f t="shared" si="1"/>
        <v>109712</v>
      </c>
      <c r="H22" s="69">
        <f>SUM(H21,H17)</f>
        <v>63070</v>
      </c>
      <c r="I22" s="69">
        <f>SUM(I21,I17)</f>
        <v>841</v>
      </c>
      <c r="J22" s="886">
        <f t="shared" si="2"/>
        <v>63911</v>
      </c>
    </row>
    <row r="23" spans="1:10" s="483" customFormat="1" ht="12">
      <c r="A23" s="380" t="s">
        <v>87</v>
      </c>
      <c r="B23" s="381"/>
      <c r="C23" s="381"/>
      <c r="D23" s="383"/>
      <c r="E23" s="381"/>
      <c r="F23" s="381"/>
      <c r="G23" s="383"/>
      <c r="H23" s="381"/>
      <c r="I23" s="381"/>
      <c r="J23" s="383"/>
    </row>
    <row r="24" spans="1:10" s="441" customFormat="1" ht="24">
      <c r="A24" s="438" t="s">
        <v>491</v>
      </c>
      <c r="B24" s="437">
        <v>0</v>
      </c>
      <c r="C24" s="437">
        <v>0</v>
      </c>
      <c r="D24" s="437">
        <f t="shared" si="0"/>
        <v>0</v>
      </c>
      <c r="E24" s="437">
        <v>0</v>
      </c>
      <c r="F24" s="437">
        <v>0</v>
      </c>
      <c r="G24" s="437">
        <f t="shared" si="1"/>
        <v>0</v>
      </c>
      <c r="H24" s="437">
        <v>0</v>
      </c>
      <c r="I24" s="437">
        <v>0</v>
      </c>
      <c r="J24" s="437">
        <f t="shared" si="2"/>
        <v>0</v>
      </c>
    </row>
    <row r="25" spans="1:10" s="441" customFormat="1" ht="24">
      <c r="A25" s="438" t="s">
        <v>492</v>
      </c>
      <c r="B25" s="437">
        <v>15975</v>
      </c>
      <c r="C25" s="437">
        <v>0</v>
      </c>
      <c r="D25" s="437">
        <f t="shared" si="0"/>
        <v>15975</v>
      </c>
      <c r="E25" s="437">
        <v>0</v>
      </c>
      <c r="F25" s="437">
        <v>0</v>
      </c>
      <c r="G25" s="437">
        <f t="shared" si="1"/>
        <v>0</v>
      </c>
      <c r="H25" s="437">
        <v>0</v>
      </c>
      <c r="I25" s="437">
        <v>0</v>
      </c>
      <c r="J25" s="437">
        <f t="shared" si="2"/>
        <v>0</v>
      </c>
    </row>
    <row r="26" spans="1:10" s="333" customFormat="1" ht="12">
      <c r="A26" s="382" t="s">
        <v>493</v>
      </c>
      <c r="B26" s="383">
        <v>13982</v>
      </c>
      <c r="C26" s="383">
        <v>0</v>
      </c>
      <c r="D26" s="383">
        <f t="shared" si="0"/>
        <v>13982</v>
      </c>
      <c r="E26" s="383">
        <v>1721</v>
      </c>
      <c r="F26" s="383">
        <v>0</v>
      </c>
      <c r="G26" s="383">
        <f t="shared" si="1"/>
        <v>1721</v>
      </c>
      <c r="H26" s="383">
        <v>0</v>
      </c>
      <c r="I26" s="383">
        <v>0</v>
      </c>
      <c r="J26" s="383">
        <f t="shared" si="2"/>
        <v>0</v>
      </c>
    </row>
    <row r="27" spans="1:10" s="333" customFormat="1" ht="12">
      <c r="A27" s="382" t="s">
        <v>164</v>
      </c>
      <c r="B27" s="383">
        <v>3179</v>
      </c>
      <c r="C27" s="383">
        <v>0</v>
      </c>
      <c r="D27" s="383">
        <f t="shared" si="0"/>
        <v>3179</v>
      </c>
      <c r="E27" s="383">
        <v>258</v>
      </c>
      <c r="F27" s="383">
        <v>0</v>
      </c>
      <c r="G27" s="383">
        <f t="shared" si="1"/>
        <v>258</v>
      </c>
      <c r="H27" s="383">
        <v>0</v>
      </c>
      <c r="I27" s="383">
        <v>0</v>
      </c>
      <c r="J27" s="383">
        <f t="shared" si="2"/>
        <v>0</v>
      </c>
    </row>
    <row r="28" spans="1:10" s="333" customFormat="1" ht="12">
      <c r="A28" s="382" t="s">
        <v>494</v>
      </c>
      <c r="B28" s="383">
        <v>505</v>
      </c>
      <c r="C28" s="383">
        <v>0</v>
      </c>
      <c r="D28" s="383">
        <f t="shared" si="0"/>
        <v>505</v>
      </c>
      <c r="E28" s="383">
        <v>0</v>
      </c>
      <c r="F28" s="383">
        <v>0</v>
      </c>
      <c r="G28" s="383">
        <f t="shared" si="1"/>
        <v>0</v>
      </c>
      <c r="H28" s="383">
        <v>0</v>
      </c>
      <c r="I28" s="383">
        <v>0</v>
      </c>
      <c r="J28" s="383">
        <f t="shared" si="2"/>
        <v>0</v>
      </c>
    </row>
    <row r="29" spans="1:10" s="441" customFormat="1" ht="25.5" customHeight="1">
      <c r="A29" s="438" t="s">
        <v>165</v>
      </c>
      <c r="B29" s="437">
        <v>790246</v>
      </c>
      <c r="C29" s="437">
        <v>0</v>
      </c>
      <c r="D29" s="437">
        <f t="shared" si="0"/>
        <v>790246</v>
      </c>
      <c r="E29" s="437">
        <v>0</v>
      </c>
      <c r="F29" s="437">
        <v>0</v>
      </c>
      <c r="G29" s="437">
        <f t="shared" si="1"/>
        <v>0</v>
      </c>
      <c r="H29" s="437">
        <v>0</v>
      </c>
      <c r="I29" s="437">
        <v>0</v>
      </c>
      <c r="J29" s="437">
        <f t="shared" si="2"/>
        <v>0</v>
      </c>
    </row>
    <row r="30" spans="1:10" s="441" customFormat="1" ht="25.5" customHeight="1">
      <c r="A30" s="707" t="s">
        <v>166</v>
      </c>
      <c r="B30" s="437">
        <v>0</v>
      </c>
      <c r="C30" s="437">
        <v>0</v>
      </c>
      <c r="D30" s="437">
        <f t="shared" si="0"/>
        <v>0</v>
      </c>
      <c r="E30" s="437">
        <v>0</v>
      </c>
      <c r="F30" s="437">
        <v>0</v>
      </c>
      <c r="G30" s="437">
        <f t="shared" si="1"/>
        <v>0</v>
      </c>
      <c r="H30" s="437">
        <v>0</v>
      </c>
      <c r="I30" s="437">
        <v>0</v>
      </c>
      <c r="J30" s="437">
        <f t="shared" si="2"/>
        <v>0</v>
      </c>
    </row>
    <row r="31" spans="1:10" s="333" customFormat="1" ht="12">
      <c r="A31" s="382" t="s">
        <v>167</v>
      </c>
      <c r="B31" s="386">
        <v>0</v>
      </c>
      <c r="C31" s="383">
        <v>0</v>
      </c>
      <c r="D31" s="383">
        <f t="shared" si="0"/>
        <v>0</v>
      </c>
      <c r="E31" s="383">
        <v>0</v>
      </c>
      <c r="F31" s="383">
        <v>0</v>
      </c>
      <c r="G31" s="383">
        <f t="shared" si="1"/>
        <v>0</v>
      </c>
      <c r="H31" s="383">
        <v>0</v>
      </c>
      <c r="I31" s="383">
        <v>0</v>
      </c>
      <c r="J31" s="383">
        <f t="shared" si="2"/>
        <v>0</v>
      </c>
    </row>
    <row r="32" spans="1:10" s="333" customFormat="1" ht="12">
      <c r="A32" s="382" t="s">
        <v>168</v>
      </c>
      <c r="B32" s="386">
        <v>72328</v>
      </c>
      <c r="C32" s="383">
        <v>0</v>
      </c>
      <c r="D32" s="383">
        <f t="shared" si="0"/>
        <v>72328</v>
      </c>
      <c r="E32" s="383">
        <v>12807</v>
      </c>
      <c r="F32" s="383">
        <v>0</v>
      </c>
      <c r="G32" s="383">
        <f t="shared" si="1"/>
        <v>12807</v>
      </c>
      <c r="H32" s="383">
        <v>1997</v>
      </c>
      <c r="I32" s="383">
        <v>0</v>
      </c>
      <c r="J32" s="383">
        <f t="shared" si="2"/>
        <v>1997</v>
      </c>
    </row>
    <row r="33" spans="1:10" s="333" customFormat="1" ht="12">
      <c r="A33" s="382" t="s">
        <v>169</v>
      </c>
      <c r="B33" s="386">
        <v>468207</v>
      </c>
      <c r="C33" s="383">
        <v>21379</v>
      </c>
      <c r="D33" s="383">
        <f t="shared" si="0"/>
        <v>489586</v>
      </c>
      <c r="E33" s="383">
        <v>91106</v>
      </c>
      <c r="F33" s="383">
        <v>3820</v>
      </c>
      <c r="G33" s="383">
        <f t="shared" si="1"/>
        <v>94926</v>
      </c>
      <c r="H33" s="383">
        <v>61073</v>
      </c>
      <c r="I33" s="383">
        <v>841</v>
      </c>
      <c r="J33" s="383">
        <f t="shared" si="2"/>
        <v>61914</v>
      </c>
    </row>
    <row r="34" spans="1:10" s="333" customFormat="1" ht="12">
      <c r="A34" s="484" t="s">
        <v>163</v>
      </c>
      <c r="B34" s="386">
        <v>0</v>
      </c>
      <c r="C34" s="383">
        <v>0</v>
      </c>
      <c r="D34" s="383">
        <f t="shared" si="0"/>
        <v>0</v>
      </c>
      <c r="E34" s="383">
        <v>6200</v>
      </c>
      <c r="F34" s="383">
        <v>25958</v>
      </c>
      <c r="G34" s="383">
        <f t="shared" si="1"/>
        <v>32158</v>
      </c>
      <c r="H34" s="383">
        <v>2340</v>
      </c>
      <c r="I34" s="383">
        <v>25939</v>
      </c>
      <c r="J34" s="383">
        <f t="shared" si="2"/>
        <v>28279</v>
      </c>
    </row>
    <row r="35" spans="1:10" s="333" customFormat="1" ht="12">
      <c r="A35" s="882" t="s">
        <v>675</v>
      </c>
      <c r="B35" s="386">
        <v>0</v>
      </c>
      <c r="C35" s="386">
        <v>0</v>
      </c>
      <c r="D35" s="383">
        <f t="shared" si="0"/>
        <v>0</v>
      </c>
      <c r="E35" s="386">
        <v>0</v>
      </c>
      <c r="F35" s="386">
        <v>141</v>
      </c>
      <c r="G35" s="383">
        <f t="shared" si="1"/>
        <v>141</v>
      </c>
      <c r="H35" s="386">
        <v>0</v>
      </c>
      <c r="I35" s="386">
        <v>122</v>
      </c>
      <c r="J35" s="383">
        <f t="shared" si="2"/>
        <v>122</v>
      </c>
    </row>
    <row r="36" spans="1:10" s="887" customFormat="1" ht="13.5">
      <c r="A36" s="884" t="s">
        <v>88</v>
      </c>
      <c r="B36" s="885">
        <f>SUM(B24:B33)</f>
        <v>1364422</v>
      </c>
      <c r="C36" s="885">
        <f>SUM(C24:C33)</f>
        <v>21379</v>
      </c>
      <c r="D36" s="886">
        <f t="shared" si="0"/>
        <v>1385801</v>
      </c>
      <c r="E36" s="885">
        <f>SUM(E24:E33)</f>
        <v>105892</v>
      </c>
      <c r="F36" s="885">
        <f>SUM(F24:F33)</f>
        <v>3820</v>
      </c>
      <c r="G36" s="886">
        <f t="shared" si="1"/>
        <v>109712</v>
      </c>
      <c r="H36" s="885">
        <f>SUM(H24:H33)</f>
        <v>63070</v>
      </c>
      <c r="I36" s="885">
        <f>SUM(I24:I33)</f>
        <v>841</v>
      </c>
      <c r="J36" s="886">
        <f t="shared" si="2"/>
        <v>63911</v>
      </c>
    </row>
    <row r="37" spans="1:7" ht="12.75">
      <c r="A37" s="32"/>
      <c r="B37" s="32"/>
      <c r="C37" s="32"/>
      <c r="D37" s="32"/>
      <c r="E37" s="32"/>
      <c r="F37" s="32"/>
      <c r="G37" s="32"/>
    </row>
    <row r="38" spans="1:10" ht="12.7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2.7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2.7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2.7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2.7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2.7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2.7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2.7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2.7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2.7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ht="12.75">
      <c r="A49" s="32"/>
    </row>
    <row r="50" ht="12.75">
      <c r="A50" s="32"/>
    </row>
    <row r="51" ht="12.75">
      <c r="A51" s="32"/>
    </row>
  </sheetData>
  <mergeCells count="5">
    <mergeCell ref="H6:J6"/>
    <mergeCell ref="B5:D5"/>
    <mergeCell ref="B7:D7"/>
    <mergeCell ref="E6:G6"/>
    <mergeCell ref="B6:D6"/>
  </mergeCells>
  <printOptions horizontalCentered="1" verticalCentered="1"/>
  <pageMargins left="0" right="0" top="0.38" bottom="0" header="0.31496062992125984" footer="0"/>
  <pageSetup fitToHeight="1" fitToWidth="1" horizontalDpi="300" verticalDpi="300" orientation="landscape" paperSize="9" r:id="rId1"/>
  <headerFooter alignWithMargins="0">
    <oddHeader>&amp;C1&amp;R&amp;"Times New Roman CE,Normál"6/b. számú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C1">
      <selection activeCell="G8" sqref="G8"/>
    </sheetView>
  </sheetViews>
  <sheetFormatPr defaultColWidth="9.140625" defaultRowHeight="12.75"/>
  <cols>
    <col min="1" max="1" width="44.140625" style="26" bestFit="1" customWidth="1"/>
    <col min="2" max="2" width="12.28125" style="26" customWidth="1"/>
    <col min="3" max="3" width="10.140625" style="26" customWidth="1"/>
    <col min="4" max="4" width="11.7109375" style="26" customWidth="1"/>
    <col min="5" max="5" width="11.7109375" style="137" customWidth="1"/>
    <col min="6" max="6" width="10.140625" style="26" customWidth="1"/>
    <col min="7" max="7" width="11.7109375" style="26" customWidth="1"/>
  </cols>
  <sheetData>
    <row r="1" spans="1:7" s="167" customFormat="1" ht="15.75">
      <c r="A1" s="25" t="s">
        <v>140</v>
      </c>
      <c r="B1" s="166"/>
      <c r="C1" s="166"/>
      <c r="D1" s="166"/>
      <c r="E1" s="179"/>
      <c r="F1" s="166"/>
      <c r="G1" s="166"/>
    </row>
    <row r="3" spans="1:7" ht="12.75">
      <c r="A3" s="30" t="s">
        <v>141</v>
      </c>
      <c r="B3" s="168">
        <v>4</v>
      </c>
      <c r="C3" s="168"/>
      <c r="D3" s="119"/>
      <c r="E3" s="180">
        <v>5</v>
      </c>
      <c r="F3" s="168"/>
      <c r="G3" s="119"/>
    </row>
    <row r="4" spans="1:7" ht="12.75">
      <c r="A4" s="30" t="s">
        <v>246</v>
      </c>
      <c r="B4" s="169"/>
      <c r="C4" s="169"/>
      <c r="D4" s="170"/>
      <c r="E4" s="181"/>
      <c r="F4" s="129"/>
      <c r="G4" s="171"/>
    </row>
    <row r="5" spans="1:7" ht="12.75">
      <c r="A5" s="30" t="s">
        <v>142</v>
      </c>
      <c r="B5" s="281" t="s">
        <v>108</v>
      </c>
      <c r="C5" s="281"/>
      <c r="D5" s="282"/>
      <c r="E5" s="180" t="s">
        <v>89</v>
      </c>
      <c r="F5" s="168"/>
      <c r="G5" s="119"/>
    </row>
    <row r="6" spans="1:7" ht="12.75">
      <c r="A6" s="30" t="s">
        <v>145</v>
      </c>
      <c r="B6" s="926">
        <v>853233</v>
      </c>
      <c r="C6" s="943"/>
      <c r="D6" s="927"/>
      <c r="E6" s="917"/>
      <c r="F6" s="918"/>
      <c r="G6" s="919"/>
    </row>
    <row r="7" spans="1:7" ht="12.75">
      <c r="A7" s="30" t="s">
        <v>146</v>
      </c>
      <c r="B7" s="172" t="s">
        <v>535</v>
      </c>
      <c r="C7" s="172"/>
      <c r="D7" s="173"/>
      <c r="E7" s="174"/>
      <c r="F7" s="174"/>
      <c r="G7" s="173"/>
    </row>
    <row r="8" spans="1:7" s="176" customFormat="1" ht="37.5" customHeight="1">
      <c r="A8" s="175" t="s">
        <v>148</v>
      </c>
      <c r="B8" s="440" t="s">
        <v>637</v>
      </c>
      <c r="C8" s="440" t="s">
        <v>597</v>
      </c>
      <c r="D8" s="622" t="s">
        <v>679</v>
      </c>
      <c r="E8" s="440" t="s">
        <v>637</v>
      </c>
      <c r="F8" s="440" t="s">
        <v>597</v>
      </c>
      <c r="G8" s="622" t="s">
        <v>679</v>
      </c>
    </row>
    <row r="9" spans="1:7" ht="9.75" customHeight="1">
      <c r="A9" s="30" t="s">
        <v>247</v>
      </c>
      <c r="B9" s="31" t="s">
        <v>248</v>
      </c>
      <c r="C9" s="30" t="s">
        <v>249</v>
      </c>
      <c r="D9" s="30" t="s">
        <v>95</v>
      </c>
      <c r="E9" s="138" t="s">
        <v>96</v>
      </c>
      <c r="F9" s="30" t="s">
        <v>97</v>
      </c>
      <c r="G9" s="30" t="s">
        <v>98</v>
      </c>
    </row>
    <row r="10" spans="1:7" ht="12.75">
      <c r="A10" s="382" t="s">
        <v>149</v>
      </c>
      <c r="B10" s="727">
        <v>73</v>
      </c>
      <c r="C10" s="727">
        <v>0</v>
      </c>
      <c r="D10" s="726">
        <f>SUM(B10:C10)</f>
        <v>73</v>
      </c>
      <c r="E10" s="728">
        <f>SUM('6b.számú melléklet(1)'!B10,'6b.számú melléklet(1)'!E10,'6b.számú melléklet(1)'!H10+'6b.számú melléklet(2)'!B10)</f>
        <v>396.5</v>
      </c>
      <c r="F10" s="728">
        <f>SUM('6b.számú melléklet(1)'!C10,'6b.számú melléklet(1)'!F10,'6b.számú melléklet(1)'!I10+'6b.számú melléklet(2)'!C10)</f>
        <v>0</v>
      </c>
      <c r="G10" s="728">
        <f>SUM('6b.számú melléklet(1)'!D10,'6b.számú melléklet(1)'!G10,'6b.számú melléklet(1)'!J10+'6b.számú melléklet(2)'!D10)</f>
        <v>396.5</v>
      </c>
    </row>
    <row r="11" spans="1:7" s="177" customFormat="1" ht="12.75">
      <c r="A11" s="380" t="s">
        <v>150</v>
      </c>
      <c r="B11" s="67"/>
      <c r="C11" s="67"/>
      <c r="D11" s="383"/>
      <c r="E11" s="434"/>
      <c r="F11" s="434"/>
      <c r="G11" s="434"/>
    </row>
    <row r="12" spans="1:7" ht="12.75">
      <c r="A12" s="382" t="s">
        <v>151</v>
      </c>
      <c r="B12" s="66">
        <v>136391</v>
      </c>
      <c r="C12" s="66">
        <v>2595</v>
      </c>
      <c r="D12" s="383">
        <f aca="true" t="shared" si="0" ref="D12:D36">SUM(B12:C12)</f>
        <v>138986</v>
      </c>
      <c r="E12" s="139">
        <f>SUM('6b.számú melléklet(1)'!B12,'6b.számú melléklet(1)'!E12,'6b.számú melléklet(1)'!H12+'6b.számú melléklet(2)'!B12)</f>
        <v>874638</v>
      </c>
      <c r="F12" s="139">
        <f>SUM('6b.számú melléklet(1)'!C12,'6b.számú melléklet(1)'!F12,'6b.számú melléklet(1)'!I12+'6b.számú melléklet(2)'!C12)</f>
        <v>12676</v>
      </c>
      <c r="G12" s="139">
        <f>SUM('6b.számú melléklet(1)'!D12,'6b.számú melléklet(1)'!G12,'6b.számú melléklet(1)'!J12+'6b.számú melléklet(2)'!D12)</f>
        <v>887314</v>
      </c>
    </row>
    <row r="13" spans="1:7" ht="12.75">
      <c r="A13" s="382" t="s">
        <v>519</v>
      </c>
      <c r="B13" s="66">
        <v>41924</v>
      </c>
      <c r="C13" s="66">
        <v>830</v>
      </c>
      <c r="D13" s="383">
        <f t="shared" si="0"/>
        <v>42754</v>
      </c>
      <c r="E13" s="139">
        <f>SUM('6b.számú melléklet(1)'!B13,'6b.számú melléklet(1)'!E13,'6b.számú melléklet(1)'!H13+'6b.számú melléklet(2)'!B13)</f>
        <v>276022</v>
      </c>
      <c r="F13" s="139">
        <f>SUM('6b.számú melléklet(1)'!C13,'6b.számú melléklet(1)'!F13,'6b.számú melléklet(1)'!I13+'6b.számú melléklet(2)'!C13)</f>
        <v>4057</v>
      </c>
      <c r="G13" s="139">
        <f>SUM('6b.számú melléklet(1)'!D13,'6b.számú melléklet(1)'!G13,'6b.számú melléklet(1)'!J13+'6b.számú melléklet(2)'!D13)</f>
        <v>280079</v>
      </c>
    </row>
    <row r="14" spans="1:7" ht="12.75">
      <c r="A14" s="382" t="s">
        <v>520</v>
      </c>
      <c r="B14" s="66">
        <v>90493</v>
      </c>
      <c r="C14" s="66">
        <v>0</v>
      </c>
      <c r="D14" s="383">
        <f t="shared" si="0"/>
        <v>90493</v>
      </c>
      <c r="E14" s="139">
        <f>SUM('6b.számú melléklet(1)'!B14,'6b.számú melléklet(1)'!E14,'6b.számú melléklet(1)'!H14+'6b.számú melléklet(2)'!B14)</f>
        <v>527974</v>
      </c>
      <c r="F14" s="139">
        <f>SUM('6b.számú melléklet(1)'!C14,'6b.számú melléklet(1)'!F14,'6b.számú melléklet(1)'!I14+'6b.számú melléklet(2)'!C14)</f>
        <v>-9875</v>
      </c>
      <c r="G14" s="139">
        <f>SUM('6b.számú melléklet(1)'!D14,'6b.számú melléklet(1)'!G14,'6b.számú melléklet(1)'!J14+'6b.számú melléklet(2)'!D14)</f>
        <v>518099</v>
      </c>
    </row>
    <row r="15" spans="1:7" s="388" customFormat="1" ht="24">
      <c r="A15" s="438" t="s">
        <v>490</v>
      </c>
      <c r="B15" s="412">
        <v>0</v>
      </c>
      <c r="C15" s="412">
        <v>0</v>
      </c>
      <c r="D15" s="437">
        <f t="shared" si="0"/>
        <v>0</v>
      </c>
      <c r="E15" s="708">
        <f>SUM('6b.számú melléklet(1)'!B15,'6b.számú melléklet(1)'!E15,'6b.számú melléklet(1)'!H15+'6b.számú melléklet(2)'!B15)</f>
        <v>8118</v>
      </c>
      <c r="F15" s="708">
        <f>SUM('6b.számú melléklet(1)'!C15,'6b.számú melléklet(1)'!F15,'6b.számú melléklet(1)'!I15+'6b.számú melléklet(2)'!C15)</f>
        <v>19015</v>
      </c>
      <c r="G15" s="708">
        <f>SUM('6b.számú melléklet(1)'!D15,'6b.számú melléklet(1)'!G15,'6b.számú melléklet(1)'!J15+'6b.számú melléklet(2)'!D15)</f>
        <v>27133</v>
      </c>
    </row>
    <row r="16" spans="1:7" ht="12.75">
      <c r="A16" s="382" t="s">
        <v>521</v>
      </c>
      <c r="B16" s="66">
        <v>0</v>
      </c>
      <c r="C16" s="66">
        <v>0</v>
      </c>
      <c r="D16" s="383">
        <f t="shared" si="0"/>
        <v>0</v>
      </c>
      <c r="E16" s="139">
        <f>SUM('6b.számú melléklet(1)'!B16,'6b.számú melléklet(1)'!E16,'6b.számú melléklet(1)'!H16+'6b.számú melléklet(2)'!B16)</f>
        <v>0</v>
      </c>
      <c r="F16" s="139">
        <f>SUM('6b.számú melléklet(1)'!C16,'6b.számú melléklet(1)'!F16,'6b.számú melléklet(1)'!I16+'6b.számú melléklet(2)'!C16)</f>
        <v>0</v>
      </c>
      <c r="G16" s="139">
        <f>SUM('6b.számú melléklet(1)'!D16,'6b.számú melléklet(1)'!G16,'6b.számú melléklet(1)'!J16+'6b.számú melléklet(2)'!D16)</f>
        <v>0</v>
      </c>
    </row>
    <row r="17" spans="1:7" s="177" customFormat="1" ht="12.75">
      <c r="A17" s="380" t="s">
        <v>522</v>
      </c>
      <c r="B17" s="67">
        <f>SUM(B12:B16)</f>
        <v>268808</v>
      </c>
      <c r="C17" s="67">
        <f>SUM(C12:C16)</f>
        <v>3425</v>
      </c>
      <c r="D17" s="704">
        <f t="shared" si="0"/>
        <v>272233</v>
      </c>
      <c r="E17" s="705">
        <f>SUM('6b.számú melléklet(1)'!B17,'6b.számú melléklet(1)'!E17,'6b.számú melléklet(1)'!H17+'6b.számú melléklet(2)'!B17)</f>
        <v>1686752</v>
      </c>
      <c r="F17" s="705">
        <f>SUM('6b.számú melléklet(1)'!C17,'6b.számú melléklet(1)'!F17,'6b.számú melléklet(1)'!I17+'6b.számú melléklet(2)'!C17)</f>
        <v>25873</v>
      </c>
      <c r="G17" s="705">
        <f>SUM('6b.számú melléklet(1)'!D17,'6b.számú melléklet(1)'!G17,'6b.számú melléklet(1)'!J17+'6b.számú melléklet(2)'!D17)</f>
        <v>1712625</v>
      </c>
    </row>
    <row r="18" spans="1:7" ht="12.75">
      <c r="A18" s="382" t="s">
        <v>171</v>
      </c>
      <c r="B18" s="66">
        <v>0</v>
      </c>
      <c r="C18" s="66">
        <v>0</v>
      </c>
      <c r="D18" s="383">
        <f t="shared" si="0"/>
        <v>0</v>
      </c>
      <c r="E18" s="139">
        <f>SUM('6b.számú melléklet(1)'!B18,'6b.számú melléklet(1)'!E18,'6b.számú melléklet(1)'!H18+'6b.számú melléklet(2)'!B18)</f>
        <v>93840</v>
      </c>
      <c r="F18" s="139">
        <f>SUM('6b.számú melléklet(1)'!C18,'6b.számú melléklet(1)'!F18,'6b.számú melléklet(1)'!I18+'6b.számú melléklet(2)'!C18)</f>
        <v>2732</v>
      </c>
      <c r="G18" s="139">
        <f>SUM('6b.számú melléklet(1)'!D18,'6b.számú melléklet(1)'!G18,'6b.számú melléklet(1)'!J18+'6b.számú melléklet(2)'!D18)</f>
        <v>96572</v>
      </c>
    </row>
    <row r="19" spans="1:7" ht="12.75">
      <c r="A19" s="382" t="s">
        <v>172</v>
      </c>
      <c r="B19" s="66">
        <v>0</v>
      </c>
      <c r="C19" s="66">
        <v>0</v>
      </c>
      <c r="D19" s="383">
        <f t="shared" si="0"/>
        <v>0</v>
      </c>
      <c r="E19" s="139">
        <f>SUM('6b.számú melléklet(1)'!B19,'6b.számú melléklet(1)'!E19,'6b.számú melléklet(1)'!H19+'6b.számú melléklet(2)'!B19)</f>
        <v>15000</v>
      </c>
      <c r="F19" s="139">
        <f>SUM('6b.számú melléklet(1)'!C19,'6b.számú melléklet(1)'!F19,'6b.számú melléklet(1)'!I19+'6b.számú melléklet(2)'!C19)</f>
        <v>0</v>
      </c>
      <c r="G19" s="139">
        <f>SUM('6b.számú melléklet(1)'!D19,'6b.számú melléklet(1)'!G19,'6b.számú melléklet(1)'!J19+'6b.számú melléklet(2)'!D19)</f>
        <v>15000</v>
      </c>
    </row>
    <row r="20" spans="1:7" s="388" customFormat="1" ht="24">
      <c r="A20" s="438" t="s">
        <v>170</v>
      </c>
      <c r="B20" s="412">
        <v>0</v>
      </c>
      <c r="C20" s="412">
        <v>0</v>
      </c>
      <c r="D20" s="437">
        <f t="shared" si="0"/>
        <v>0</v>
      </c>
      <c r="E20" s="708">
        <f>SUM('6b.számú melléklet(1)'!B20,'6b.számú melléklet(1)'!E20,'6b.számú melléklet(1)'!H20+'6b.számú melléklet(2)'!B20)</f>
        <v>6600</v>
      </c>
      <c r="F20" s="708">
        <f>SUM('6b.számú melléklet(1)'!C20,'6b.számú melléklet(1)'!F20,'6b.számú melléklet(1)'!I20+'6b.számú melléklet(2)'!C20)</f>
        <v>860</v>
      </c>
      <c r="G20" s="708">
        <f>SUM('6b.számú melléklet(1)'!D20,'6b.számú melléklet(1)'!G20,'6b.számú melléklet(1)'!J20+'6b.számú melléklet(2)'!D20)</f>
        <v>7460</v>
      </c>
    </row>
    <row r="21" spans="1:7" s="177" customFormat="1" ht="12.75">
      <c r="A21" s="380" t="s">
        <v>85</v>
      </c>
      <c r="B21" s="67">
        <f>SUM(B18:B20)</f>
        <v>0</v>
      </c>
      <c r="C21" s="67">
        <f>SUM(C18:C20)</f>
        <v>0</v>
      </c>
      <c r="D21" s="704">
        <f t="shared" si="0"/>
        <v>0</v>
      </c>
      <c r="E21" s="705">
        <f>SUM('6b.számú melléklet(1)'!B21,'6b.számú melléklet(1)'!E21,'6b.számú melléklet(1)'!H21+'6b.számú melléklet(2)'!B21)</f>
        <v>115440</v>
      </c>
      <c r="F21" s="705">
        <f>SUM('6b.számú melléklet(1)'!C21,'6b.számú melléklet(1)'!F21,'6b.számú melléklet(1)'!I21+'6b.számú melléklet(2)'!C21)</f>
        <v>3592</v>
      </c>
      <c r="G21" s="705">
        <f>SUM('6b.számú melléklet(1)'!D21,'6b.számú melléklet(1)'!G21,'6b.számú melléklet(1)'!J21+'6b.számú melléklet(2)'!D21)</f>
        <v>119032</v>
      </c>
    </row>
    <row r="22" spans="1:7" s="887" customFormat="1" ht="13.5">
      <c r="A22" s="884" t="s">
        <v>86</v>
      </c>
      <c r="B22" s="69">
        <f>SUM(B21,B17)</f>
        <v>268808</v>
      </c>
      <c r="C22" s="69">
        <f>SUM(C21,C17)</f>
        <v>3425</v>
      </c>
      <c r="D22" s="886">
        <f t="shared" si="0"/>
        <v>272233</v>
      </c>
      <c r="E22" s="523">
        <f>SUM('6b.számú melléklet(1)'!B22,'6b.számú melléklet(1)'!E22,'6b.számú melléklet(1)'!H22+'6b.számú melléklet(2)'!B22)</f>
        <v>1802192</v>
      </c>
      <c r="F22" s="523">
        <f>SUM('6b.számú melléklet(1)'!C22,'6b.számú melléklet(1)'!F22,'6b.számú melléklet(1)'!I22+'6b.számú melléklet(2)'!C22)</f>
        <v>29465</v>
      </c>
      <c r="G22" s="523">
        <f>SUM('6b.számú melléklet(1)'!D22,'6b.számú melléklet(1)'!G22,'6b.számú melléklet(1)'!J22+'6b.számú melléklet(2)'!D22)</f>
        <v>1831657</v>
      </c>
    </row>
    <row r="23" spans="1:7" s="177" customFormat="1" ht="12.75">
      <c r="A23" s="380" t="s">
        <v>87</v>
      </c>
      <c r="B23" s="67"/>
      <c r="C23" s="67"/>
      <c r="D23" s="383"/>
      <c r="E23" s="139"/>
      <c r="F23" s="139"/>
      <c r="G23" s="139"/>
    </row>
    <row r="24" spans="1:7" ht="12.75">
      <c r="A24" s="363" t="s">
        <v>491</v>
      </c>
      <c r="B24" s="66">
        <v>0</v>
      </c>
      <c r="C24" s="66">
        <v>0</v>
      </c>
      <c r="D24" s="383">
        <f t="shared" si="0"/>
        <v>0</v>
      </c>
      <c r="E24" s="139">
        <f>SUM('6b.számú melléklet(1)'!B24,'6b.számú melléklet(1)'!E24,'6b.számú melléklet(1)'!H24+'6b.számú melléklet(2)'!B24)</f>
        <v>0</v>
      </c>
      <c r="F24" s="139">
        <f>SUM('6b.számú melléklet(1)'!C24,'6b.számú melléklet(1)'!F24,'6b.számú melléklet(1)'!I24+'6b.számú melléklet(2)'!C24)</f>
        <v>0</v>
      </c>
      <c r="G24" s="139">
        <f>SUM('6b.számú melléklet(1)'!D24,'6b.számú melléklet(1)'!G24,'6b.számú melléklet(1)'!J24+'6b.számú melléklet(2)'!D24)</f>
        <v>0</v>
      </c>
    </row>
    <row r="25" spans="1:7" ht="12.75">
      <c r="A25" s="363" t="s">
        <v>492</v>
      </c>
      <c r="B25" s="66">
        <v>49506</v>
      </c>
      <c r="C25" s="66">
        <v>0</v>
      </c>
      <c r="D25" s="383">
        <f t="shared" si="0"/>
        <v>49506</v>
      </c>
      <c r="E25" s="139">
        <f>SUM('6b.számú melléklet(1)'!B25,'6b.számú melléklet(1)'!E25,'6b.számú melléklet(1)'!H25+'6b.számú melléklet(2)'!B25)</f>
        <v>65481</v>
      </c>
      <c r="F25" s="139">
        <f>SUM('6b.számú melléklet(1)'!C25,'6b.számú melléklet(1)'!F25,'6b.számú melléklet(1)'!I25+'6b.számú melléklet(2)'!C25)</f>
        <v>0</v>
      </c>
      <c r="G25" s="139">
        <f>SUM('6b.számú melléklet(1)'!D25,'6b.számú melléklet(1)'!G25,'6b.számú melléklet(1)'!J25+'6b.számú melléklet(2)'!D25)</f>
        <v>65481</v>
      </c>
    </row>
    <row r="26" spans="1:7" ht="12.75">
      <c r="A26" s="382" t="s">
        <v>493</v>
      </c>
      <c r="B26" s="66">
        <v>0</v>
      </c>
      <c r="C26" s="66">
        <v>0</v>
      </c>
      <c r="D26" s="383">
        <f t="shared" si="0"/>
        <v>0</v>
      </c>
      <c r="E26" s="139">
        <f>SUM('6b.számú melléklet(1)'!B26,'6b.számú melléklet(1)'!E26,'6b.számú melléklet(1)'!H26+'6b.számú melléklet(2)'!B26)</f>
        <v>15703</v>
      </c>
      <c r="F26" s="139">
        <f>SUM('6b.számú melléklet(1)'!C26,'6b.számú melléklet(1)'!F26,'6b.számú melléklet(1)'!I26+'6b.számú melléklet(2)'!C26)</f>
        <v>0</v>
      </c>
      <c r="G26" s="139">
        <f>SUM('6b.számú melléklet(1)'!D26,'6b.számú melléklet(1)'!G26,'6b.számú melléklet(1)'!J26+'6b.számú melléklet(2)'!D26)</f>
        <v>15703</v>
      </c>
    </row>
    <row r="27" spans="1:7" ht="12.75">
      <c r="A27" s="382" t="s">
        <v>164</v>
      </c>
      <c r="B27" s="66">
        <v>4825</v>
      </c>
      <c r="C27" s="66">
        <v>0</v>
      </c>
      <c r="D27" s="383">
        <f t="shared" si="0"/>
        <v>4825</v>
      </c>
      <c r="E27" s="139">
        <f>SUM('6b.számú melléklet(1)'!B27,'6b.számú melléklet(1)'!E27,'6b.számú melléklet(1)'!H27+'6b.számú melléklet(2)'!B27)</f>
        <v>8262</v>
      </c>
      <c r="F27" s="139">
        <f>SUM('6b.számú melléklet(1)'!C27,'6b.számú melléklet(1)'!F27,'6b.számú melléklet(1)'!I27+'6b.számú melléklet(2)'!C27)</f>
        <v>0</v>
      </c>
      <c r="G27" s="139">
        <f>SUM('6b.számú melléklet(1)'!D27,'6b.számú melléklet(1)'!G27,'6b.számú melléklet(1)'!J27+'6b.számú melléklet(2)'!D27)</f>
        <v>8262</v>
      </c>
    </row>
    <row r="28" spans="1:7" ht="12.75">
      <c r="A28" s="382" t="s">
        <v>494</v>
      </c>
      <c r="B28" s="66">
        <v>0</v>
      </c>
      <c r="C28" s="66">
        <v>0</v>
      </c>
      <c r="D28" s="383">
        <f t="shared" si="0"/>
        <v>0</v>
      </c>
      <c r="E28" s="139">
        <f>SUM('6b.számú melléklet(1)'!B28,'6b.számú melléklet(1)'!E28,'6b.számú melléklet(1)'!H28+'6b.számú melléklet(2)'!B28)</f>
        <v>505</v>
      </c>
      <c r="F28" s="139">
        <f>SUM('6b.számú melléklet(1)'!C28,'6b.számú melléklet(1)'!F28,'6b.számú melléklet(1)'!I28+'6b.számú melléklet(2)'!C28)</f>
        <v>0</v>
      </c>
      <c r="G28" s="139">
        <f>SUM('6b.számú melléklet(1)'!D28,'6b.számú melléklet(1)'!G28,'6b.számú melléklet(1)'!J28+'6b.számú melléklet(2)'!D28)</f>
        <v>505</v>
      </c>
    </row>
    <row r="29" spans="1:7" s="388" customFormat="1" ht="24">
      <c r="A29" s="438" t="s">
        <v>165</v>
      </c>
      <c r="B29" s="412">
        <v>0</v>
      </c>
      <c r="C29" s="412">
        <v>0</v>
      </c>
      <c r="D29" s="437">
        <f t="shared" si="0"/>
        <v>0</v>
      </c>
      <c r="E29" s="708">
        <f>SUM('6b.számú melléklet(1)'!B29,'6b.számú melléklet(1)'!E29,'6b.számú melléklet(1)'!H29+'6b.számú melléklet(2)'!B29)</f>
        <v>790246</v>
      </c>
      <c r="F29" s="708">
        <f>SUM('6b.számú melléklet(1)'!C29,'6b.számú melléklet(1)'!F29,'6b.számú melléklet(1)'!I29+'6b.számú melléklet(2)'!C29)</f>
        <v>0</v>
      </c>
      <c r="G29" s="708">
        <f>SUM('6b.számú melléklet(1)'!D29,'6b.számú melléklet(1)'!G29,'6b.számú melléklet(1)'!J29+'6b.számú melléklet(2)'!D29)</f>
        <v>790246</v>
      </c>
    </row>
    <row r="30" spans="1:7" s="388" customFormat="1" ht="24">
      <c r="A30" s="707" t="s">
        <v>166</v>
      </c>
      <c r="B30" s="412">
        <v>0</v>
      </c>
      <c r="C30" s="412">
        <v>0</v>
      </c>
      <c r="D30" s="437">
        <f t="shared" si="0"/>
        <v>0</v>
      </c>
      <c r="E30" s="708">
        <f>SUM('6b.számú melléklet(1)'!B30,'6b.számú melléklet(1)'!E30,'6b.számú melléklet(1)'!H30+'6b.számú melléklet(2)'!B30)</f>
        <v>0</v>
      </c>
      <c r="F30" s="708">
        <f>SUM('6b.számú melléklet(1)'!C30,'6b.számú melléklet(1)'!F30,'6b.számú melléklet(1)'!I30+'6b.számú melléklet(2)'!C30)</f>
        <v>0</v>
      </c>
      <c r="G30" s="708">
        <f>SUM('6b.számú melléklet(1)'!D30,'6b.számú melléklet(1)'!G30,'6b.számú melléklet(1)'!J30+'6b.számú melléklet(2)'!D30)</f>
        <v>0</v>
      </c>
    </row>
    <row r="31" spans="1:7" ht="12.75">
      <c r="A31" s="382" t="s">
        <v>167</v>
      </c>
      <c r="B31" s="66">
        <v>0</v>
      </c>
      <c r="C31" s="66">
        <v>0</v>
      </c>
      <c r="D31" s="383">
        <f t="shared" si="0"/>
        <v>0</v>
      </c>
      <c r="E31" s="139">
        <f>SUM('6b.számú melléklet(1)'!B31,'6b.számú melléklet(1)'!E31,'6b.számú melléklet(1)'!H31+'6b.számú melléklet(2)'!B31)</f>
        <v>0</v>
      </c>
      <c r="F31" s="139">
        <f>SUM('6b.számú melléklet(1)'!C31,'6b.számú melléklet(1)'!F31,'6b.számú melléklet(1)'!I31+'6b.számú melléklet(2)'!C31)</f>
        <v>0</v>
      </c>
      <c r="G31" s="139">
        <f>SUM('6b.számú melléklet(1)'!D31,'6b.számú melléklet(1)'!G31,'6b.számú melléklet(1)'!J31+'6b.számú melléklet(2)'!D31)</f>
        <v>0</v>
      </c>
    </row>
    <row r="32" spans="1:7" ht="12.75">
      <c r="A32" s="382" t="s">
        <v>168</v>
      </c>
      <c r="B32" s="26">
        <v>3800</v>
      </c>
      <c r="C32" s="66">
        <v>0</v>
      </c>
      <c r="D32" s="383">
        <f t="shared" si="0"/>
        <v>3800</v>
      </c>
      <c r="E32" s="139">
        <f>SUM('6b.számú melléklet(1)'!B32,'6b.számú melléklet(1)'!E32,'6b.számú melléklet(1)'!H32+'6b.számú melléklet(2)'!B32)</f>
        <v>90932</v>
      </c>
      <c r="F32" s="139">
        <f>SUM('6b.számú melléklet(1)'!C32,'6b.számú melléklet(1)'!F32,'6b.számú melléklet(1)'!I32+'6b.számú melléklet(2)'!C32)</f>
        <v>0</v>
      </c>
      <c r="G32" s="139">
        <f>SUM('6b.számú melléklet(1)'!D32,'6b.számú melléklet(1)'!G32,'6b.számú melléklet(1)'!J32+'6b.számú melléklet(2)'!D32)</f>
        <v>90932</v>
      </c>
    </row>
    <row r="33" spans="1:7" ht="12.75">
      <c r="A33" s="382" t="s">
        <v>169</v>
      </c>
      <c r="B33" s="66">
        <v>210677</v>
      </c>
      <c r="C33" s="66">
        <v>3425</v>
      </c>
      <c r="D33" s="383">
        <f t="shared" si="0"/>
        <v>214102</v>
      </c>
      <c r="E33" s="139">
        <f>SUM('6b.számú melléklet(1)'!B33,'6b.számú melléklet(1)'!E33,'6b.számú melléklet(1)'!H33+'6b.számú melléklet(2)'!B33)</f>
        <v>831063</v>
      </c>
      <c r="F33" s="139">
        <f>SUM('6b.számú melléklet(1)'!C33,'6b.számú melléklet(1)'!F33,'6b.számú melléklet(1)'!I33+'6b.számú melléklet(2)'!C33)</f>
        <v>29465</v>
      </c>
      <c r="G33" s="139">
        <f>SUM('6b.számú melléklet(1)'!D33,'6b.számú melléklet(1)'!G33,'6b.számú melléklet(1)'!J33+'6b.számú melléklet(2)'!D33)</f>
        <v>860528</v>
      </c>
    </row>
    <row r="34" spans="1:7" ht="12.75">
      <c r="A34" s="484" t="s">
        <v>163</v>
      </c>
      <c r="B34" s="66">
        <v>93476</v>
      </c>
      <c r="C34" s="66">
        <v>461</v>
      </c>
      <c r="D34" s="383">
        <f t="shared" si="0"/>
        <v>93937</v>
      </c>
      <c r="E34" s="139">
        <f>SUM('6b.számú melléklet(1)'!B34,'6b.számú melléklet(1)'!E34,'6b.számú melléklet(1)'!H34+'6b.számú melléklet(2)'!B34)</f>
        <v>102016</v>
      </c>
      <c r="F34" s="139">
        <f>SUM('6b.számú melléklet(1)'!C34,'6b.számú melléklet(1)'!F34,'6b.számú melléklet(1)'!I34+'6b.számú melléklet(2)'!C34)</f>
        <v>52358</v>
      </c>
      <c r="G34" s="139">
        <f>SUM('6b.számú melléklet(1)'!D34,'6b.számú melléklet(1)'!G34,'6b.számú melléklet(1)'!J34+'6b.számú melléklet(2)'!D34)</f>
        <v>154374</v>
      </c>
    </row>
    <row r="35" spans="1:7" ht="12.75">
      <c r="A35" s="882" t="s">
        <v>675</v>
      </c>
      <c r="B35" s="881">
        <v>0</v>
      </c>
      <c r="C35" s="881">
        <v>461</v>
      </c>
      <c r="D35" s="383">
        <f t="shared" si="0"/>
        <v>461</v>
      </c>
      <c r="E35" s="139">
        <f>SUM('6b.számú melléklet(1)'!B35,'6b.számú melléklet(1)'!E35,'6b.számú melléklet(1)'!H35+'6b.számú melléklet(2)'!B35)</f>
        <v>0</v>
      </c>
      <c r="F35" s="139">
        <f>SUM('6b.számú melléklet(1)'!C35,'6b.számú melléklet(1)'!F35,'6b.számú melléklet(1)'!I35+'6b.számú melléklet(2)'!C35)</f>
        <v>724</v>
      </c>
      <c r="G35" s="139">
        <f>SUM('6b.számú melléklet(1)'!D35,'6b.számú melléklet(1)'!G35,'6b.számú melléklet(1)'!J35+'6b.számú melléklet(2)'!D35)</f>
        <v>724</v>
      </c>
    </row>
    <row r="36" spans="1:7" s="50" customFormat="1" ht="13.5">
      <c r="A36" s="884" t="s">
        <v>88</v>
      </c>
      <c r="B36" s="885">
        <f>SUM(B23:B33)</f>
        <v>268808</v>
      </c>
      <c r="C36" s="885">
        <f>SUM(C23:C33)</f>
        <v>3425</v>
      </c>
      <c r="D36" s="886">
        <f t="shared" si="0"/>
        <v>272233</v>
      </c>
      <c r="E36" s="523">
        <f>SUM('6b.számú melléklet(1)'!B36,'6b.számú melléklet(1)'!E36,'6b.számú melléklet(1)'!H36+'6b.számú melléklet(2)'!B36)</f>
        <v>1802192</v>
      </c>
      <c r="F36" s="523">
        <f>SUM('6b.számú melléklet(1)'!C36,'6b.számú melléklet(1)'!F36,'6b.számú melléklet(1)'!I36+'6b.számú melléklet(2)'!C36)</f>
        <v>29465</v>
      </c>
      <c r="G36" s="523">
        <f>SUM('6b.számú melléklet(1)'!D36,'6b.számú melléklet(1)'!G36,'6b.számú melléklet(1)'!J36+'6b.számú melléklet(2)'!D36)</f>
        <v>1831657</v>
      </c>
    </row>
    <row r="37" spans="1:7" ht="12.75">
      <c r="A37" s="32"/>
      <c r="B37" s="32"/>
      <c r="C37" s="32"/>
      <c r="D37" s="32"/>
      <c r="E37" s="182"/>
      <c r="F37" s="32"/>
      <c r="G37" s="32"/>
    </row>
    <row r="38" spans="1:7" ht="12.75">
      <c r="A38" s="32"/>
      <c r="B38" s="32"/>
      <c r="C38" s="32"/>
      <c r="D38" s="32"/>
      <c r="E38" s="182"/>
      <c r="F38" s="32"/>
      <c r="G38" s="32"/>
    </row>
    <row r="39" spans="1:7" ht="12.75">
      <c r="A39" s="32"/>
      <c r="B39" s="32"/>
      <c r="C39" s="32"/>
      <c r="D39" s="32"/>
      <c r="E39" s="182"/>
      <c r="F39" s="32"/>
      <c r="G39" s="32"/>
    </row>
    <row r="40" spans="1:7" ht="12.75">
      <c r="A40" s="32"/>
      <c r="B40" s="32"/>
      <c r="C40" s="32"/>
      <c r="D40" s="32"/>
      <c r="E40" s="182"/>
      <c r="F40" s="32"/>
      <c r="G40" s="32"/>
    </row>
    <row r="41" spans="1:7" ht="12.75">
      <c r="A41" s="32"/>
      <c r="B41" s="32"/>
      <c r="C41" s="32"/>
      <c r="D41" s="32"/>
      <c r="E41" s="182"/>
      <c r="F41" s="32"/>
      <c r="G41" s="32"/>
    </row>
    <row r="42" spans="1:7" ht="12.75">
      <c r="A42" s="32"/>
      <c r="B42" s="32"/>
      <c r="C42" s="32"/>
      <c r="D42" s="32"/>
      <c r="E42" s="182"/>
      <c r="F42" s="32"/>
      <c r="G42" s="32"/>
    </row>
    <row r="43" spans="1:7" ht="12.75">
      <c r="A43" s="32"/>
      <c r="B43" s="32"/>
      <c r="C43" s="32"/>
      <c r="D43" s="32"/>
      <c r="E43" s="182"/>
      <c r="F43" s="32"/>
      <c r="G43" s="32"/>
    </row>
    <row r="44" spans="1:7" ht="12.75">
      <c r="A44" s="32"/>
      <c r="B44" s="32"/>
      <c r="C44" s="32"/>
      <c r="D44" s="32"/>
      <c r="E44" s="182"/>
      <c r="F44" s="32"/>
      <c r="G44" s="32"/>
    </row>
    <row r="45" spans="1:7" ht="12.75">
      <c r="A45" s="32"/>
      <c r="B45" s="32"/>
      <c r="C45" s="32"/>
      <c r="D45" s="32"/>
      <c r="E45" s="182"/>
      <c r="F45" s="32"/>
      <c r="G45" s="32"/>
    </row>
    <row r="46" spans="1:7" ht="12.75">
      <c r="A46" s="32"/>
      <c r="B46" s="32"/>
      <c r="C46" s="32"/>
      <c r="D46" s="32"/>
      <c r="E46" s="182"/>
      <c r="F46" s="32"/>
      <c r="G46" s="32"/>
    </row>
    <row r="47" spans="1:7" ht="12.75">
      <c r="A47" s="32"/>
      <c r="B47" s="32"/>
      <c r="C47" s="32"/>
      <c r="D47" s="32"/>
      <c r="E47" s="182"/>
      <c r="F47" s="32"/>
      <c r="G47" s="32"/>
    </row>
  </sheetData>
  <mergeCells count="2">
    <mergeCell ref="B6:D6"/>
    <mergeCell ref="E6:G6"/>
  </mergeCells>
  <printOptions horizontalCentered="1" verticalCentered="1"/>
  <pageMargins left="0" right="0" top="0.11811023622047245" bottom="0" header="0.31496062992125984" footer="0"/>
  <pageSetup fitToHeight="1" fitToWidth="1" horizontalDpi="300" verticalDpi="300" orientation="landscape" paperSize="9" r:id="rId1"/>
  <headerFooter alignWithMargins="0">
    <oddHeader>&amp;C2&amp;R&amp;"Times New Roman CE,Normál"6/b.számú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C12" sqref="C12"/>
    </sheetView>
  </sheetViews>
  <sheetFormatPr defaultColWidth="9.140625" defaultRowHeight="12.75"/>
  <cols>
    <col min="1" max="1" width="3.140625" style="26" customWidth="1"/>
    <col min="2" max="2" width="2.57421875" style="26" customWidth="1"/>
    <col min="3" max="3" width="59.28125" style="26" customWidth="1"/>
    <col min="4" max="4" width="8.57421875" style="0" customWidth="1"/>
    <col min="5" max="5" width="9.57421875" style="0" customWidth="1"/>
    <col min="6" max="6" width="8.28125" style="424" customWidth="1"/>
    <col min="7" max="7" width="9.8515625" style="635" customWidth="1"/>
  </cols>
  <sheetData>
    <row r="1" spans="1:7" ht="15" customHeight="1">
      <c r="A1" s="921" t="s">
        <v>273</v>
      </c>
      <c r="B1" s="921"/>
      <c r="C1" s="921"/>
      <c r="D1" s="921"/>
      <c r="E1" s="921"/>
      <c r="F1" s="921"/>
      <c r="G1" s="921"/>
    </row>
    <row r="2" spans="1:7" ht="15" customHeight="1">
      <c r="A2" s="921" t="s">
        <v>76</v>
      </c>
      <c r="B2" s="921"/>
      <c r="C2" s="921"/>
      <c r="D2" s="921"/>
      <c r="E2" s="921"/>
      <c r="F2" s="921"/>
      <c r="G2" s="921"/>
    </row>
    <row r="3" spans="1:3" ht="15" customHeight="1">
      <c r="A3" s="25"/>
      <c r="B3" s="25"/>
      <c r="C3" s="25"/>
    </row>
    <row r="4" spans="4:7" ht="12.75">
      <c r="D4" s="26"/>
      <c r="E4" s="26"/>
      <c r="F4" s="512"/>
      <c r="G4" s="621" t="s">
        <v>524</v>
      </c>
    </row>
    <row r="5" spans="1:7" s="628" customFormat="1" ht="39.75" customHeight="1">
      <c r="A5" s="623" t="s">
        <v>174</v>
      </c>
      <c r="B5" s="722" t="s">
        <v>525</v>
      </c>
      <c r="C5" s="723"/>
      <c r="D5" s="626" t="s">
        <v>50</v>
      </c>
      <c r="E5" s="714" t="s">
        <v>636</v>
      </c>
      <c r="F5" s="627" t="s">
        <v>541</v>
      </c>
      <c r="G5" s="714" t="s">
        <v>679</v>
      </c>
    </row>
    <row r="6" spans="1:7" ht="9.75" customHeight="1">
      <c r="A6" s="30" t="s">
        <v>247</v>
      </c>
      <c r="B6" s="926" t="s">
        <v>248</v>
      </c>
      <c r="C6" s="927"/>
      <c r="D6" s="31" t="s">
        <v>249</v>
      </c>
      <c r="E6" s="31" t="s">
        <v>95</v>
      </c>
      <c r="F6" s="31" t="s">
        <v>96</v>
      </c>
      <c r="G6" s="31" t="s">
        <v>97</v>
      </c>
    </row>
    <row r="7" spans="1:7" s="1" customFormat="1" ht="12.75" customHeight="1">
      <c r="A7" s="44" t="s">
        <v>486</v>
      </c>
      <c r="B7" s="924" t="s">
        <v>118</v>
      </c>
      <c r="C7" s="925"/>
      <c r="D7" s="425"/>
      <c r="E7" s="425"/>
      <c r="F7" s="426"/>
      <c r="G7" s="637"/>
    </row>
    <row r="8" spans="1:7" s="413" customFormat="1" ht="12.75" customHeight="1">
      <c r="A8" s="56" t="s">
        <v>247</v>
      </c>
      <c r="B8" s="922" t="s">
        <v>196</v>
      </c>
      <c r="C8" s="923"/>
      <c r="D8" s="427">
        <v>50000</v>
      </c>
      <c r="E8" s="427">
        <v>50452</v>
      </c>
      <c r="F8" s="427">
        <v>-17472</v>
      </c>
      <c r="G8" s="427">
        <f>SUM(E8:F8)</f>
        <v>32980</v>
      </c>
    </row>
    <row r="9" spans="1:7" s="413" customFormat="1" ht="26.25" customHeight="1">
      <c r="A9" s="56" t="s">
        <v>248</v>
      </c>
      <c r="B9" s="922" t="s">
        <v>459</v>
      </c>
      <c r="C9" s="923"/>
      <c r="D9" s="427">
        <v>1015</v>
      </c>
      <c r="E9" s="427">
        <v>1015</v>
      </c>
      <c r="F9" s="427">
        <v>0</v>
      </c>
      <c r="G9" s="427">
        <f>SUM(E9:F9)</f>
        <v>1015</v>
      </c>
    </row>
    <row r="10" spans="1:7" s="413" customFormat="1" ht="12.75" customHeight="1">
      <c r="A10" s="56" t="s">
        <v>249</v>
      </c>
      <c r="B10" s="922" t="s">
        <v>460</v>
      </c>
      <c r="C10" s="923"/>
      <c r="D10" s="427">
        <v>1523</v>
      </c>
      <c r="E10" s="427">
        <v>1523</v>
      </c>
      <c r="F10" s="427">
        <v>0</v>
      </c>
      <c r="G10" s="427">
        <f>SUM(E10:F10)</f>
        <v>1523</v>
      </c>
    </row>
    <row r="11" spans="1:7" ht="12.75">
      <c r="A11" s="56" t="s">
        <v>95</v>
      </c>
      <c r="B11" s="270" t="s">
        <v>131</v>
      </c>
      <c r="C11" s="130"/>
      <c r="D11" s="425">
        <v>8000</v>
      </c>
      <c r="E11" s="425">
        <v>8000</v>
      </c>
      <c r="F11" s="425">
        <v>-7810</v>
      </c>
      <c r="G11" s="427">
        <f aca="true" t="shared" si="0" ref="G11:G20">SUM(E11:F11)</f>
        <v>190</v>
      </c>
    </row>
    <row r="12" spans="1:7" ht="12.75">
      <c r="A12" s="56" t="s">
        <v>96</v>
      </c>
      <c r="B12" s="129" t="s">
        <v>197</v>
      </c>
      <c r="C12" s="129"/>
      <c r="D12" s="425">
        <v>7000</v>
      </c>
      <c r="E12" s="425">
        <v>2190</v>
      </c>
      <c r="F12" s="425">
        <v>-1990</v>
      </c>
      <c r="G12" s="427">
        <f t="shared" si="0"/>
        <v>200</v>
      </c>
    </row>
    <row r="13" spans="1:7" ht="12.75">
      <c r="A13" s="56" t="s">
        <v>97</v>
      </c>
      <c r="B13" s="270" t="s">
        <v>484</v>
      </c>
      <c r="C13" s="130"/>
      <c r="D13" s="425">
        <v>5500</v>
      </c>
      <c r="E13" s="425">
        <v>6447</v>
      </c>
      <c r="F13" s="425">
        <v>-3351</v>
      </c>
      <c r="G13" s="427">
        <f t="shared" si="0"/>
        <v>3096</v>
      </c>
    </row>
    <row r="14" spans="1:7" ht="12.75">
      <c r="A14" s="56" t="s">
        <v>98</v>
      </c>
      <c r="B14" s="129" t="s">
        <v>516</v>
      </c>
      <c r="C14" s="130"/>
      <c r="D14" s="66">
        <f>SUM(D15:D17)</f>
        <v>24000</v>
      </c>
      <c r="E14" s="66">
        <f>SUM(E15:E17)</f>
        <v>12352</v>
      </c>
      <c r="F14" s="66">
        <f>SUM(F15:F17)</f>
        <v>0</v>
      </c>
      <c r="G14" s="427">
        <f t="shared" si="0"/>
        <v>12352</v>
      </c>
    </row>
    <row r="15" spans="1:7" ht="12.75">
      <c r="A15" s="41"/>
      <c r="B15" s="129"/>
      <c r="C15" s="130" t="s">
        <v>527</v>
      </c>
      <c r="D15" s="425">
        <v>16000</v>
      </c>
      <c r="E15" s="425">
        <v>8011</v>
      </c>
      <c r="F15" s="425">
        <v>0</v>
      </c>
      <c r="G15" s="427">
        <f t="shared" si="0"/>
        <v>8011</v>
      </c>
    </row>
    <row r="16" spans="1:7" ht="12.75">
      <c r="A16" s="41"/>
      <c r="B16" s="129"/>
      <c r="C16" s="130" t="s">
        <v>264</v>
      </c>
      <c r="D16" s="425">
        <v>5120</v>
      </c>
      <c r="E16" s="425">
        <v>2638</v>
      </c>
      <c r="F16" s="425">
        <v>0</v>
      </c>
      <c r="G16" s="427">
        <f t="shared" si="0"/>
        <v>2638</v>
      </c>
    </row>
    <row r="17" spans="1:7" ht="12.75">
      <c r="A17" s="41"/>
      <c r="B17" s="129"/>
      <c r="C17" s="130" t="s">
        <v>528</v>
      </c>
      <c r="D17" s="425">
        <v>2880</v>
      </c>
      <c r="E17" s="425">
        <v>1703</v>
      </c>
      <c r="F17" s="425">
        <v>0</v>
      </c>
      <c r="G17" s="427">
        <f t="shared" si="0"/>
        <v>1703</v>
      </c>
    </row>
    <row r="18" spans="1:7" ht="12.75">
      <c r="A18" s="41" t="s">
        <v>99</v>
      </c>
      <c r="B18" s="272" t="s">
        <v>456</v>
      </c>
      <c r="C18" s="131"/>
      <c r="D18" s="425">
        <v>127564</v>
      </c>
      <c r="E18" s="425">
        <v>161251</v>
      </c>
      <c r="F18" s="425">
        <v>0</v>
      </c>
      <c r="G18" s="427">
        <f t="shared" si="0"/>
        <v>161251</v>
      </c>
    </row>
    <row r="19" spans="1:7" ht="12.75">
      <c r="A19" s="41" t="s">
        <v>100</v>
      </c>
      <c r="B19" s="272" t="s">
        <v>29</v>
      </c>
      <c r="C19" s="131"/>
      <c r="D19" s="425">
        <v>40059</v>
      </c>
      <c r="E19" s="425">
        <v>81511</v>
      </c>
      <c r="F19" s="425">
        <v>0</v>
      </c>
      <c r="G19" s="427">
        <f t="shared" si="0"/>
        <v>81511</v>
      </c>
    </row>
    <row r="20" spans="1:7" ht="12.75">
      <c r="A20" s="41" t="s">
        <v>101</v>
      </c>
      <c r="B20" s="129" t="s">
        <v>295</v>
      </c>
      <c r="C20" s="131"/>
      <c r="D20" s="120">
        <f>SUM(D21:D23)</f>
        <v>13402</v>
      </c>
      <c r="E20" s="120">
        <f>SUM(E21:E23)</f>
        <v>1069</v>
      </c>
      <c r="F20" s="120">
        <f>SUM(F21:F23)</f>
        <v>-724</v>
      </c>
      <c r="G20" s="427">
        <f t="shared" si="0"/>
        <v>345</v>
      </c>
    </row>
    <row r="21" spans="1:7" s="388" customFormat="1" ht="25.5">
      <c r="A21" s="56"/>
      <c r="B21" s="480" t="s">
        <v>622</v>
      </c>
      <c r="C21" s="481" t="s">
        <v>198</v>
      </c>
      <c r="D21" s="427">
        <v>12086</v>
      </c>
      <c r="E21" s="427">
        <v>0</v>
      </c>
      <c r="F21" s="427">
        <v>0</v>
      </c>
      <c r="G21" s="427">
        <f>SUM(E21:F21)</f>
        <v>0</v>
      </c>
    </row>
    <row r="22" spans="1:7" ht="12.75">
      <c r="A22" s="41"/>
      <c r="B22" s="131"/>
      <c r="C22" s="131" t="s">
        <v>19</v>
      </c>
      <c r="D22" s="425">
        <v>592</v>
      </c>
      <c r="E22" s="425">
        <v>0</v>
      </c>
      <c r="F22" s="425">
        <v>0</v>
      </c>
      <c r="G22" s="427">
        <f>SUM(E22:F22)</f>
        <v>0</v>
      </c>
    </row>
    <row r="23" spans="1:7" ht="12.75">
      <c r="A23" s="41"/>
      <c r="B23" s="129" t="s">
        <v>623</v>
      </c>
      <c r="C23" s="131" t="s">
        <v>106</v>
      </c>
      <c r="D23" s="425">
        <v>724</v>
      </c>
      <c r="E23" s="425">
        <v>1069</v>
      </c>
      <c r="F23" s="425">
        <v>-724</v>
      </c>
      <c r="G23" s="427">
        <f aca="true" t="shared" si="1" ref="G23:G72">SUM(E23:F23)</f>
        <v>345</v>
      </c>
    </row>
    <row r="24" spans="1:7" ht="12.75">
      <c r="A24" s="41" t="s">
        <v>102</v>
      </c>
      <c r="B24" s="129" t="s">
        <v>457</v>
      </c>
      <c r="C24" s="131"/>
      <c r="D24" s="425">
        <v>4218</v>
      </c>
      <c r="E24" s="425">
        <v>0</v>
      </c>
      <c r="F24" s="425">
        <v>0</v>
      </c>
      <c r="G24" s="427">
        <f t="shared" si="1"/>
        <v>0</v>
      </c>
    </row>
    <row r="25" spans="1:7" ht="12.75">
      <c r="A25" s="41" t="s">
        <v>103</v>
      </c>
      <c r="B25" s="129" t="s">
        <v>30</v>
      </c>
      <c r="C25" s="131"/>
      <c r="D25" s="482">
        <v>6985</v>
      </c>
      <c r="E25" s="482">
        <v>0</v>
      </c>
      <c r="F25" s="425">
        <v>0</v>
      </c>
      <c r="G25" s="427">
        <f t="shared" si="1"/>
        <v>0</v>
      </c>
    </row>
    <row r="26" spans="1:7" ht="12.75">
      <c r="A26" s="41" t="s">
        <v>104</v>
      </c>
      <c r="B26" s="129" t="s">
        <v>351</v>
      </c>
      <c r="C26" s="131"/>
      <c r="D26" s="425">
        <v>34090</v>
      </c>
      <c r="E26" s="425">
        <v>34090</v>
      </c>
      <c r="F26" s="425">
        <v>9000</v>
      </c>
      <c r="G26" s="427">
        <f t="shared" si="1"/>
        <v>43090</v>
      </c>
    </row>
    <row r="27" spans="1:7" ht="12.75">
      <c r="A27" s="41" t="s">
        <v>283</v>
      </c>
      <c r="B27" s="129" t="s">
        <v>385</v>
      </c>
      <c r="C27" s="131"/>
      <c r="D27" s="425">
        <v>14060</v>
      </c>
      <c r="E27" s="425">
        <v>0</v>
      </c>
      <c r="F27" s="425">
        <v>0</v>
      </c>
      <c r="G27" s="427">
        <f t="shared" si="1"/>
        <v>0</v>
      </c>
    </row>
    <row r="28" spans="1:7" ht="12.75">
      <c r="A28" s="41" t="s">
        <v>284</v>
      </c>
      <c r="B28" s="129" t="s">
        <v>352</v>
      </c>
      <c r="C28" s="131"/>
      <c r="D28" s="425">
        <v>2800</v>
      </c>
      <c r="E28" s="425">
        <v>0</v>
      </c>
      <c r="F28" s="425">
        <v>0</v>
      </c>
      <c r="G28" s="427">
        <f t="shared" si="1"/>
        <v>0</v>
      </c>
    </row>
    <row r="29" spans="1:7" ht="12.75">
      <c r="A29" s="41" t="s">
        <v>395</v>
      </c>
      <c r="B29" s="129" t="s">
        <v>384</v>
      </c>
      <c r="C29" s="129"/>
      <c r="D29" s="66">
        <f>SUM(D30:D31)</f>
        <v>16080</v>
      </c>
      <c r="E29" s="66">
        <f>SUM(E30:E31)</f>
        <v>15316</v>
      </c>
      <c r="F29" s="66">
        <f>SUM(F30:F31)</f>
        <v>0</v>
      </c>
      <c r="G29" s="427">
        <f t="shared" si="1"/>
        <v>15316</v>
      </c>
    </row>
    <row r="30" spans="1:7" ht="12.75">
      <c r="A30" s="41"/>
      <c r="B30" s="129"/>
      <c r="C30" s="131" t="s">
        <v>527</v>
      </c>
      <c r="D30" s="425">
        <v>12182</v>
      </c>
      <c r="E30" s="425">
        <v>11604</v>
      </c>
      <c r="F30" s="425">
        <v>0</v>
      </c>
      <c r="G30" s="427">
        <f t="shared" si="1"/>
        <v>11604</v>
      </c>
    </row>
    <row r="31" spans="1:7" ht="12.75">
      <c r="A31" s="41"/>
      <c r="B31" s="129"/>
      <c r="C31" s="130" t="s">
        <v>264</v>
      </c>
      <c r="D31" s="425">
        <v>3898</v>
      </c>
      <c r="E31" s="425">
        <v>3712</v>
      </c>
      <c r="F31" s="425">
        <v>0</v>
      </c>
      <c r="G31" s="427">
        <f t="shared" si="1"/>
        <v>3712</v>
      </c>
    </row>
    <row r="32" spans="1:7" ht="12.75">
      <c r="A32" s="41" t="s">
        <v>399</v>
      </c>
      <c r="B32" s="129" t="s">
        <v>46</v>
      </c>
      <c r="C32" s="129"/>
      <c r="D32" s="425">
        <v>20000</v>
      </c>
      <c r="E32" s="425">
        <v>0</v>
      </c>
      <c r="F32" s="425">
        <v>0</v>
      </c>
      <c r="G32" s="427">
        <f t="shared" si="1"/>
        <v>0</v>
      </c>
    </row>
    <row r="33" spans="1:7" ht="12.75">
      <c r="A33" s="41" t="s">
        <v>401</v>
      </c>
      <c r="B33" s="129" t="s">
        <v>132</v>
      </c>
      <c r="C33" s="129"/>
      <c r="D33" s="425">
        <v>12000</v>
      </c>
      <c r="E33" s="425">
        <v>7929</v>
      </c>
      <c r="F33" s="425">
        <v>-7929</v>
      </c>
      <c r="G33" s="427">
        <f t="shared" si="1"/>
        <v>0</v>
      </c>
    </row>
    <row r="34" spans="1:7" ht="12.75">
      <c r="A34" s="41" t="s">
        <v>402</v>
      </c>
      <c r="B34" s="129" t="s">
        <v>624</v>
      </c>
      <c r="C34" s="129"/>
      <c r="D34" s="122">
        <f>SUM(D35:D36)</f>
        <v>11250</v>
      </c>
      <c r="E34" s="122">
        <f>SUM(E35:E36)</f>
        <v>0</v>
      </c>
      <c r="F34" s="692">
        <f>SUM(F35:F36)</f>
        <v>0</v>
      </c>
      <c r="G34" s="427">
        <f t="shared" si="1"/>
        <v>0</v>
      </c>
    </row>
    <row r="35" spans="1:7" ht="12.75">
      <c r="A35" s="41"/>
      <c r="B35" s="129"/>
      <c r="C35" s="131" t="s">
        <v>527</v>
      </c>
      <c r="D35" s="425">
        <v>8523</v>
      </c>
      <c r="E35" s="425">
        <v>0</v>
      </c>
      <c r="F35" s="425">
        <v>0</v>
      </c>
      <c r="G35" s="427">
        <f t="shared" si="1"/>
        <v>0</v>
      </c>
    </row>
    <row r="36" spans="1:7" ht="12.75">
      <c r="A36" s="41"/>
      <c r="B36" s="129"/>
      <c r="C36" s="130" t="s">
        <v>264</v>
      </c>
      <c r="D36" s="425">
        <v>2727</v>
      </c>
      <c r="E36" s="425">
        <v>0</v>
      </c>
      <c r="F36" s="425">
        <v>0</v>
      </c>
      <c r="G36" s="427">
        <f t="shared" si="1"/>
        <v>0</v>
      </c>
    </row>
    <row r="37" spans="1:7" ht="12.75">
      <c r="A37" s="41" t="s">
        <v>404</v>
      </c>
      <c r="B37" s="129" t="s">
        <v>381</v>
      </c>
      <c r="C37" s="130"/>
      <c r="D37" s="425">
        <f>SUM(D38:D39)</f>
        <v>76639</v>
      </c>
      <c r="E37" s="425">
        <f>SUM(E38:E39)</f>
        <v>0</v>
      </c>
      <c r="F37" s="425">
        <f>SUM(F38:F39)</f>
        <v>0</v>
      </c>
      <c r="G37" s="427">
        <f t="shared" si="1"/>
        <v>0</v>
      </c>
    </row>
    <row r="38" spans="1:7" ht="12.75">
      <c r="A38" s="41"/>
      <c r="B38" s="129"/>
      <c r="C38" s="131" t="s">
        <v>527</v>
      </c>
      <c r="D38" s="425">
        <v>58060</v>
      </c>
      <c r="E38" s="425">
        <v>0</v>
      </c>
      <c r="F38" s="425">
        <v>0</v>
      </c>
      <c r="G38" s="427">
        <f t="shared" si="1"/>
        <v>0</v>
      </c>
    </row>
    <row r="39" spans="1:7" ht="12.75">
      <c r="A39" s="41"/>
      <c r="B39" s="129"/>
      <c r="C39" s="130" t="s">
        <v>264</v>
      </c>
      <c r="D39" s="425">
        <v>18579</v>
      </c>
      <c r="E39" s="425">
        <v>0</v>
      </c>
      <c r="F39" s="425">
        <v>0</v>
      </c>
      <c r="G39" s="427">
        <f t="shared" si="1"/>
        <v>0</v>
      </c>
    </row>
    <row r="40" spans="1:7" ht="12.75">
      <c r="A40" s="41" t="s">
        <v>405</v>
      </c>
      <c r="B40" s="129" t="s">
        <v>199</v>
      </c>
      <c r="C40" s="130"/>
      <c r="D40" s="425">
        <v>3000</v>
      </c>
      <c r="E40" s="425">
        <v>0</v>
      </c>
      <c r="F40" s="425">
        <v>0</v>
      </c>
      <c r="G40" s="427">
        <f t="shared" si="1"/>
        <v>0</v>
      </c>
    </row>
    <row r="41" spans="1:7" ht="12.75">
      <c r="A41" s="41" t="s">
        <v>406</v>
      </c>
      <c r="B41" s="129" t="s">
        <v>382</v>
      </c>
      <c r="C41" s="130"/>
      <c r="D41" s="425">
        <v>25000</v>
      </c>
      <c r="E41" s="425">
        <v>0</v>
      </c>
      <c r="F41" s="425">
        <v>0</v>
      </c>
      <c r="G41" s="427">
        <f t="shared" si="1"/>
        <v>0</v>
      </c>
    </row>
    <row r="42" spans="1:7" ht="12.75">
      <c r="A42" s="41" t="s">
        <v>409</v>
      </c>
      <c r="B42" s="129" t="s">
        <v>31</v>
      </c>
      <c r="C42" s="130"/>
      <c r="D42" s="425">
        <f>SUM(D43:D44)</f>
        <v>15767</v>
      </c>
      <c r="E42" s="425">
        <f>SUM(E43:E44)</f>
        <v>15767</v>
      </c>
      <c r="F42" s="425">
        <f>SUM(F43:F44)</f>
        <v>0</v>
      </c>
      <c r="G42" s="427">
        <f t="shared" si="1"/>
        <v>15767</v>
      </c>
    </row>
    <row r="43" spans="1:7" ht="12.75">
      <c r="A43" s="41"/>
      <c r="B43" s="129"/>
      <c r="C43" s="131" t="s">
        <v>527</v>
      </c>
      <c r="D43" s="425">
        <v>11945</v>
      </c>
      <c r="E43" s="425">
        <v>11945</v>
      </c>
      <c r="F43" s="425">
        <v>0</v>
      </c>
      <c r="G43" s="427">
        <f t="shared" si="1"/>
        <v>11945</v>
      </c>
    </row>
    <row r="44" spans="1:7" ht="12.75">
      <c r="A44" s="41"/>
      <c r="B44" s="129"/>
      <c r="C44" s="130" t="s">
        <v>264</v>
      </c>
      <c r="D44" s="425">
        <v>3822</v>
      </c>
      <c r="E44" s="425">
        <v>3822</v>
      </c>
      <c r="F44" s="425">
        <v>0</v>
      </c>
      <c r="G44" s="427">
        <f t="shared" si="1"/>
        <v>3822</v>
      </c>
    </row>
    <row r="45" spans="1:7" ht="12.75">
      <c r="A45" s="41" t="s">
        <v>289</v>
      </c>
      <c r="B45" s="129" t="s">
        <v>383</v>
      </c>
      <c r="C45" s="130"/>
      <c r="D45" s="425">
        <f>SUM(D46:D47)</f>
        <v>16009</v>
      </c>
      <c r="E45" s="425">
        <f>SUM(E46:E47)</f>
        <v>16009</v>
      </c>
      <c r="F45" s="425">
        <f>SUM(F46:F47)</f>
        <v>-16009</v>
      </c>
      <c r="G45" s="427">
        <f t="shared" si="1"/>
        <v>0</v>
      </c>
    </row>
    <row r="46" spans="1:7" ht="12.75">
      <c r="A46" s="41"/>
      <c r="B46" s="129"/>
      <c r="C46" s="131" t="s">
        <v>527</v>
      </c>
      <c r="D46" s="425">
        <v>12128</v>
      </c>
      <c r="E46" s="425">
        <v>12128</v>
      </c>
      <c r="F46" s="425">
        <v>-12128</v>
      </c>
      <c r="G46" s="427">
        <f t="shared" si="1"/>
        <v>0</v>
      </c>
    </row>
    <row r="47" spans="1:7" ht="12.75">
      <c r="A47" s="41"/>
      <c r="B47" s="129"/>
      <c r="C47" s="130" t="s">
        <v>264</v>
      </c>
      <c r="D47" s="425">
        <v>3881</v>
      </c>
      <c r="E47" s="425">
        <v>3881</v>
      </c>
      <c r="F47" s="425">
        <v>-3881</v>
      </c>
      <c r="G47" s="427">
        <f t="shared" si="1"/>
        <v>0</v>
      </c>
    </row>
    <row r="48" spans="1:7" ht="12.75">
      <c r="A48" s="41" t="s">
        <v>290</v>
      </c>
      <c r="B48" s="129" t="s">
        <v>625</v>
      </c>
      <c r="C48" s="129"/>
      <c r="D48" s="122">
        <f>SUM(D49:D50)</f>
        <v>3750</v>
      </c>
      <c r="E48" s="122">
        <f>SUM(E49:E50)</f>
        <v>0</v>
      </c>
      <c r="F48" s="692">
        <f>SUM(F49:F50)</f>
        <v>0</v>
      </c>
      <c r="G48" s="427">
        <f t="shared" si="1"/>
        <v>0</v>
      </c>
    </row>
    <row r="49" spans="1:7" ht="12.75">
      <c r="A49" s="41"/>
      <c r="B49" s="129"/>
      <c r="C49" s="131" t="s">
        <v>527</v>
      </c>
      <c r="D49" s="425">
        <v>2841</v>
      </c>
      <c r="E49" s="425">
        <v>0</v>
      </c>
      <c r="F49" s="425">
        <v>0</v>
      </c>
      <c r="G49" s="427">
        <f t="shared" si="1"/>
        <v>0</v>
      </c>
    </row>
    <row r="50" spans="1:7" ht="12.75">
      <c r="A50" s="41"/>
      <c r="B50" s="129"/>
      <c r="C50" s="130" t="s">
        <v>264</v>
      </c>
      <c r="D50" s="425">
        <v>909</v>
      </c>
      <c r="E50" s="425">
        <v>0</v>
      </c>
      <c r="F50" s="425">
        <v>0</v>
      </c>
      <c r="G50" s="427">
        <f t="shared" si="1"/>
        <v>0</v>
      </c>
    </row>
    <row r="51" spans="1:7" ht="12.75">
      <c r="A51" s="41" t="s">
        <v>292</v>
      </c>
      <c r="B51" s="129" t="s">
        <v>393</v>
      </c>
      <c r="C51" s="129"/>
      <c r="D51" s="66">
        <f>SUM(D52:D53)</f>
        <v>4020</v>
      </c>
      <c r="E51" s="66">
        <f>SUM(E52:E53)</f>
        <v>4020</v>
      </c>
      <c r="F51" s="66">
        <f>SUM(F52:F53)</f>
        <v>0</v>
      </c>
      <c r="G51" s="427">
        <f t="shared" si="1"/>
        <v>4020</v>
      </c>
    </row>
    <row r="52" spans="1:7" ht="12.75">
      <c r="A52" s="41"/>
      <c r="B52" s="129"/>
      <c r="C52" s="131" t="s">
        <v>527</v>
      </c>
      <c r="D52" s="425">
        <v>3046</v>
      </c>
      <c r="E52" s="425">
        <v>3046</v>
      </c>
      <c r="F52" s="425">
        <v>0</v>
      </c>
      <c r="G52" s="427">
        <f t="shared" si="1"/>
        <v>3046</v>
      </c>
    </row>
    <row r="53" spans="1:7" ht="12.75">
      <c r="A53" s="41"/>
      <c r="B53" s="129"/>
      <c r="C53" s="130" t="s">
        <v>264</v>
      </c>
      <c r="D53" s="425">
        <v>974</v>
      </c>
      <c r="E53" s="425">
        <v>974</v>
      </c>
      <c r="F53" s="425">
        <v>0</v>
      </c>
      <c r="G53" s="427">
        <f t="shared" si="1"/>
        <v>974</v>
      </c>
    </row>
    <row r="54" spans="1:7" ht="12.75">
      <c r="A54" s="41" t="s">
        <v>294</v>
      </c>
      <c r="B54" s="129" t="s">
        <v>200</v>
      </c>
      <c r="C54" s="129"/>
      <c r="D54" s="425">
        <v>3700</v>
      </c>
      <c r="E54" s="425">
        <v>3700</v>
      </c>
      <c r="F54" s="425">
        <v>-1260</v>
      </c>
      <c r="G54" s="427">
        <f t="shared" si="1"/>
        <v>2440</v>
      </c>
    </row>
    <row r="55" spans="1:7" ht="12.75">
      <c r="A55" s="41" t="s">
        <v>511</v>
      </c>
      <c r="B55" s="129" t="s">
        <v>201</v>
      </c>
      <c r="C55" s="129"/>
      <c r="D55" s="425">
        <v>2500</v>
      </c>
      <c r="E55" s="425">
        <v>2500</v>
      </c>
      <c r="F55" s="425">
        <v>-834</v>
      </c>
      <c r="G55" s="427">
        <f t="shared" si="1"/>
        <v>1666</v>
      </c>
    </row>
    <row r="56" spans="1:7" ht="12.75">
      <c r="A56" s="41" t="s">
        <v>512</v>
      </c>
      <c r="B56" s="129" t="s">
        <v>202</v>
      </c>
      <c r="C56" s="129"/>
      <c r="D56" s="425">
        <v>10000</v>
      </c>
      <c r="E56" s="425">
        <v>10000</v>
      </c>
      <c r="F56" s="425">
        <v>-10000</v>
      </c>
      <c r="G56" s="427">
        <f t="shared" si="1"/>
        <v>0</v>
      </c>
    </row>
    <row r="57" spans="1:7" ht="12.75">
      <c r="A57" s="41" t="s">
        <v>513</v>
      </c>
      <c r="B57" s="129" t="s">
        <v>203</v>
      </c>
      <c r="C57" s="129"/>
      <c r="D57" s="425">
        <f>SUM(D58:D59)</f>
        <v>25080</v>
      </c>
      <c r="E57" s="425">
        <f>SUM(E58:E59)</f>
        <v>0</v>
      </c>
      <c r="F57" s="425">
        <f>SUM(F58:F59)</f>
        <v>0</v>
      </c>
      <c r="G57" s="427">
        <f t="shared" si="1"/>
        <v>0</v>
      </c>
    </row>
    <row r="58" spans="1:7" ht="12.75">
      <c r="A58" s="41"/>
      <c r="B58" s="129"/>
      <c r="C58" s="131" t="s">
        <v>527</v>
      </c>
      <c r="D58" s="425">
        <v>19000</v>
      </c>
      <c r="E58" s="425">
        <v>0</v>
      </c>
      <c r="F58" s="425">
        <v>0</v>
      </c>
      <c r="G58" s="427">
        <f t="shared" si="1"/>
        <v>0</v>
      </c>
    </row>
    <row r="59" spans="1:7" ht="12.75">
      <c r="A59" s="41"/>
      <c r="B59" s="129"/>
      <c r="C59" s="130" t="s">
        <v>264</v>
      </c>
      <c r="D59" s="425">
        <v>6080</v>
      </c>
      <c r="E59" s="425">
        <v>0</v>
      </c>
      <c r="F59" s="425">
        <v>0</v>
      </c>
      <c r="G59" s="427">
        <f t="shared" si="1"/>
        <v>0</v>
      </c>
    </row>
    <row r="60" spans="1:7" ht="12.75">
      <c r="A60" s="41" t="s">
        <v>514</v>
      </c>
      <c r="B60" s="121" t="s">
        <v>237</v>
      </c>
      <c r="C60" s="171"/>
      <c r="D60" s="425">
        <f>SUM(D61:D63)</f>
        <v>15000</v>
      </c>
      <c r="E60" s="425">
        <f>SUM(E61:E63)</f>
        <v>15000</v>
      </c>
      <c r="F60" s="425">
        <f>SUM(F61:F63)</f>
        <v>0</v>
      </c>
      <c r="G60" s="427">
        <f t="shared" si="1"/>
        <v>15000</v>
      </c>
    </row>
    <row r="61" spans="1:7" ht="12.75">
      <c r="A61" s="41"/>
      <c r="B61" s="129"/>
      <c r="C61" s="131" t="s">
        <v>527</v>
      </c>
      <c r="D61" s="425">
        <v>9470</v>
      </c>
      <c r="E61" s="425">
        <v>9470</v>
      </c>
      <c r="F61" s="425">
        <v>0</v>
      </c>
      <c r="G61" s="427">
        <f t="shared" si="1"/>
        <v>9470</v>
      </c>
    </row>
    <row r="62" spans="1:7" ht="12.75">
      <c r="A62" s="41"/>
      <c r="B62" s="129"/>
      <c r="C62" s="130" t="s">
        <v>264</v>
      </c>
      <c r="D62" s="425">
        <v>3030</v>
      </c>
      <c r="E62" s="425">
        <v>3030</v>
      </c>
      <c r="F62" s="425">
        <v>0</v>
      </c>
      <c r="G62" s="427">
        <f t="shared" si="1"/>
        <v>3030</v>
      </c>
    </row>
    <row r="63" spans="1:7" ht="12.75">
      <c r="A63" s="41"/>
      <c r="B63" s="129"/>
      <c r="C63" s="130" t="s">
        <v>528</v>
      </c>
      <c r="D63" s="425">
        <v>2500</v>
      </c>
      <c r="E63" s="425">
        <v>2500</v>
      </c>
      <c r="F63" s="425">
        <v>0</v>
      </c>
      <c r="G63" s="427">
        <f t="shared" si="1"/>
        <v>2500</v>
      </c>
    </row>
    <row r="64" spans="1:7" ht="12.75">
      <c r="A64" s="41" t="s">
        <v>134</v>
      </c>
      <c r="B64" s="129" t="s">
        <v>204</v>
      </c>
      <c r="C64" s="130"/>
      <c r="D64" s="425">
        <v>16000</v>
      </c>
      <c r="E64" s="425">
        <v>16000</v>
      </c>
      <c r="F64" s="425">
        <v>0</v>
      </c>
      <c r="G64" s="427">
        <f t="shared" si="1"/>
        <v>16000</v>
      </c>
    </row>
    <row r="65" spans="1:7" ht="12.75">
      <c r="A65" s="41" t="s">
        <v>117</v>
      </c>
      <c r="B65" s="129" t="s">
        <v>386</v>
      </c>
      <c r="C65" s="129"/>
      <c r="D65" s="425">
        <v>55393</v>
      </c>
      <c r="E65" s="425">
        <v>55393</v>
      </c>
      <c r="F65" s="425">
        <v>0</v>
      </c>
      <c r="G65" s="427">
        <f t="shared" si="1"/>
        <v>55393</v>
      </c>
    </row>
    <row r="66" spans="1:7" ht="12.75">
      <c r="A66" s="41" t="s">
        <v>260</v>
      </c>
      <c r="B66" s="129" t="s">
        <v>503</v>
      </c>
      <c r="C66" s="129"/>
      <c r="D66" s="425">
        <v>90000</v>
      </c>
      <c r="E66" s="425">
        <v>93873</v>
      </c>
      <c r="F66" s="425">
        <v>0</v>
      </c>
      <c r="G66" s="427">
        <f t="shared" si="1"/>
        <v>93873</v>
      </c>
    </row>
    <row r="67" spans="1:7" ht="12.75">
      <c r="A67" s="41" t="s">
        <v>261</v>
      </c>
      <c r="B67" s="129" t="s">
        <v>285</v>
      </c>
      <c r="C67" s="129"/>
      <c r="D67" s="425">
        <v>2000</v>
      </c>
      <c r="E67" s="425">
        <v>2000</v>
      </c>
      <c r="F67" s="425">
        <v>0</v>
      </c>
      <c r="G67" s="427">
        <f t="shared" si="1"/>
        <v>2000</v>
      </c>
    </row>
    <row r="68" spans="1:7" ht="12.75">
      <c r="A68" s="41" t="s">
        <v>302</v>
      </c>
      <c r="B68" s="129" t="s">
        <v>547</v>
      </c>
      <c r="C68" s="129"/>
      <c r="D68" s="425">
        <v>0</v>
      </c>
      <c r="E68" s="425">
        <v>4660</v>
      </c>
      <c r="F68" s="425">
        <v>0</v>
      </c>
      <c r="G68" s="427">
        <f t="shared" si="1"/>
        <v>4660</v>
      </c>
    </row>
    <row r="69" spans="1:7" ht="12.75">
      <c r="A69" s="41" t="s">
        <v>585</v>
      </c>
      <c r="B69" s="129" t="s">
        <v>548</v>
      </c>
      <c r="C69" s="129"/>
      <c r="D69" s="425">
        <v>0</v>
      </c>
      <c r="E69" s="425">
        <v>13056</v>
      </c>
      <c r="F69" s="425">
        <v>0</v>
      </c>
      <c r="G69" s="427">
        <f t="shared" si="1"/>
        <v>13056</v>
      </c>
    </row>
    <row r="70" spans="1:7" ht="12.75">
      <c r="A70" s="41" t="s">
        <v>586</v>
      </c>
      <c r="B70" s="129" t="s">
        <v>626</v>
      </c>
      <c r="C70" s="129"/>
      <c r="D70" s="425">
        <v>0</v>
      </c>
      <c r="E70" s="425">
        <v>5195110</v>
      </c>
      <c r="F70" s="425">
        <v>-462001</v>
      </c>
      <c r="G70" s="427">
        <f t="shared" si="1"/>
        <v>4733109</v>
      </c>
    </row>
    <row r="71" spans="1:7" ht="12.75">
      <c r="A71" s="41" t="s">
        <v>587</v>
      </c>
      <c r="B71" s="129" t="s">
        <v>549</v>
      </c>
      <c r="C71" s="129"/>
      <c r="D71" s="425">
        <v>0</v>
      </c>
      <c r="E71" s="425">
        <v>13600</v>
      </c>
      <c r="F71" s="425">
        <v>0</v>
      </c>
      <c r="G71" s="427">
        <f t="shared" si="1"/>
        <v>13600</v>
      </c>
    </row>
    <row r="72" spans="1:7" s="1" customFormat="1" ht="12.75">
      <c r="A72" s="44"/>
      <c r="B72" s="132" t="s">
        <v>603</v>
      </c>
      <c r="C72" s="348"/>
      <c r="D72" s="513">
        <f>SUM(D8:D14,D18:D20,D24:D29,D32:D34,D37,D40:D42,D45,D48,D51,D54:D57,D60,D64,D65,D66,D67,D68,D69,D70,D71)</f>
        <v>763404</v>
      </c>
      <c r="E72" s="513">
        <f>SUM(E8:E14,E18:E20,E24:E29,E32:E34,E37,E40:E42,E45,E48,E51,E54:E57,E60,E64,E65,E66,E67,E68,E69,E70,E71)</f>
        <v>5843833</v>
      </c>
      <c r="F72" s="513">
        <f>SUM(F8:F14,F18:F20,F24:F29,F32:F34,F37,F40:F42,F45,F48,F51,F54:F57,F60,F64,F65,F66,F67,F68,F69,F70,F71)</f>
        <v>-520380</v>
      </c>
      <c r="G72" s="638">
        <f t="shared" si="1"/>
        <v>5323453</v>
      </c>
    </row>
    <row r="73" spans="1:7" ht="12.75">
      <c r="A73" s="44" t="s">
        <v>52</v>
      </c>
      <c r="B73" s="132" t="s">
        <v>485</v>
      </c>
      <c r="C73" s="171"/>
      <c r="D73" s="425"/>
      <c r="E73" s="425"/>
      <c r="F73" s="425"/>
      <c r="G73" s="427"/>
    </row>
    <row r="74" spans="1:7" ht="12.75">
      <c r="A74" s="417" t="s">
        <v>247</v>
      </c>
      <c r="B74" s="178" t="s">
        <v>53</v>
      </c>
      <c r="C74" s="394"/>
      <c r="D74" s="425">
        <v>10000</v>
      </c>
      <c r="E74" s="425">
        <v>5923</v>
      </c>
      <c r="F74" s="425">
        <v>-2529</v>
      </c>
      <c r="G74" s="427">
        <f>SUM(E74:F74)</f>
        <v>3394</v>
      </c>
    </row>
    <row r="75" spans="1:7" ht="12.75">
      <c r="A75" s="107" t="s">
        <v>248</v>
      </c>
      <c r="B75" s="178" t="s">
        <v>54</v>
      </c>
      <c r="C75" s="394"/>
      <c r="D75" s="425">
        <v>52000</v>
      </c>
      <c r="E75" s="425">
        <v>18675</v>
      </c>
      <c r="F75" s="425">
        <v>-10884</v>
      </c>
      <c r="G75" s="427">
        <f>SUM(E75:F75)</f>
        <v>7791</v>
      </c>
    </row>
    <row r="76" spans="1:7" s="1" customFormat="1" ht="12.75">
      <c r="A76" s="44"/>
      <c r="B76" s="132" t="s">
        <v>90</v>
      </c>
      <c r="C76" s="395"/>
      <c r="D76" s="271">
        <f>SUM(D74:D75)</f>
        <v>62000</v>
      </c>
      <c r="E76" s="271">
        <f>SUM(E74:E75)</f>
        <v>24598</v>
      </c>
      <c r="F76" s="271">
        <f>SUM(F74:F75)</f>
        <v>-13413</v>
      </c>
      <c r="G76" s="638">
        <f>SUM(E76:F76)</f>
        <v>11185</v>
      </c>
    </row>
    <row r="77" spans="1:7" s="1" customFormat="1" ht="12.75">
      <c r="A77" s="44" t="s">
        <v>408</v>
      </c>
      <c r="B77" s="132" t="s">
        <v>114</v>
      </c>
      <c r="C77" s="395"/>
      <c r="D77" s="426">
        <v>628235</v>
      </c>
      <c r="E77" s="426">
        <v>0</v>
      </c>
      <c r="F77" s="426">
        <v>0</v>
      </c>
      <c r="G77" s="638">
        <f>SUM(E77:F77)</f>
        <v>0</v>
      </c>
    </row>
    <row r="78" spans="1:7" s="1" customFormat="1" ht="12.75">
      <c r="A78" s="44"/>
      <c r="B78" s="132" t="s">
        <v>21</v>
      </c>
      <c r="C78" s="133"/>
      <c r="D78" s="67">
        <f>SUM(D72,D76,D77)</f>
        <v>1453639</v>
      </c>
      <c r="E78" s="67">
        <f>SUM(E72,E76,E77)</f>
        <v>5868431</v>
      </c>
      <c r="F78" s="67">
        <f>SUM(F72,F76,F77)</f>
        <v>-533793</v>
      </c>
      <c r="G78" s="638">
        <f>SUM(E78:F78)</f>
        <v>5334638</v>
      </c>
    </row>
  </sheetData>
  <mergeCells count="7">
    <mergeCell ref="A1:G1"/>
    <mergeCell ref="A2:G2"/>
    <mergeCell ref="B9:C9"/>
    <mergeCell ref="B10:C10"/>
    <mergeCell ref="B7:C7"/>
    <mergeCell ref="B8:C8"/>
    <mergeCell ref="B6:C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CE,Normál"2/a. számú melléklet</oddHeader>
    <oddFooter>&amp;L&amp;"Times New Roman CE,Normál"&amp;8&amp;F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G5" sqref="G5"/>
    </sheetView>
  </sheetViews>
  <sheetFormatPr defaultColWidth="9.140625" defaultRowHeight="12.75"/>
  <cols>
    <col min="1" max="1" width="3.421875" style="26" customWidth="1"/>
    <col min="2" max="2" width="29.00390625" style="26" customWidth="1"/>
    <col min="3" max="3" width="32.7109375" style="26" customWidth="1"/>
    <col min="4" max="4" width="8.421875" style="0" customWidth="1"/>
    <col min="5" max="5" width="10.140625" style="0" customWidth="1"/>
    <col min="6" max="6" width="7.7109375" style="0" customWidth="1"/>
    <col min="7" max="7" width="9.7109375" style="635" customWidth="1"/>
  </cols>
  <sheetData>
    <row r="1" spans="1:7" ht="15" customHeight="1">
      <c r="A1" s="921" t="s">
        <v>273</v>
      </c>
      <c r="B1" s="921"/>
      <c r="C1" s="921"/>
      <c r="D1" s="921"/>
      <c r="E1" s="921"/>
      <c r="F1" s="921"/>
      <c r="G1" s="921"/>
    </row>
    <row r="2" spans="1:7" ht="15" customHeight="1">
      <c r="A2" s="921" t="s">
        <v>470</v>
      </c>
      <c r="B2" s="921"/>
      <c r="C2" s="921"/>
      <c r="D2" s="921"/>
      <c r="E2" s="921"/>
      <c r="F2" s="921"/>
      <c r="G2" s="921"/>
    </row>
    <row r="3" spans="1:3" ht="15" customHeight="1">
      <c r="A3" s="25"/>
      <c r="B3" s="25"/>
      <c r="C3" s="25"/>
    </row>
    <row r="4" spans="4:7" ht="12.75">
      <c r="D4" s="26"/>
      <c r="E4" s="26"/>
      <c r="F4" s="512"/>
      <c r="G4" s="621" t="s">
        <v>524</v>
      </c>
    </row>
    <row r="5" spans="1:7" s="628" customFormat="1" ht="39.75" customHeight="1">
      <c r="A5" s="626" t="s">
        <v>174</v>
      </c>
      <c r="B5" s="624" t="s">
        <v>359</v>
      </c>
      <c r="C5" s="625" t="s">
        <v>227</v>
      </c>
      <c r="D5" s="626" t="s">
        <v>50</v>
      </c>
      <c r="E5" s="714" t="s">
        <v>636</v>
      </c>
      <c r="F5" s="627" t="s">
        <v>541</v>
      </c>
      <c r="G5" s="714" t="s">
        <v>679</v>
      </c>
    </row>
    <row r="6" spans="1:7" s="333" customFormat="1" ht="9.75" customHeight="1">
      <c r="A6" s="334" t="s">
        <v>247</v>
      </c>
      <c r="B6" s="488" t="s">
        <v>248</v>
      </c>
      <c r="C6" s="564" t="s">
        <v>249</v>
      </c>
      <c r="D6" s="31" t="s">
        <v>249</v>
      </c>
      <c r="E6" s="31" t="s">
        <v>95</v>
      </c>
      <c r="F6" s="31" t="s">
        <v>96</v>
      </c>
      <c r="G6" s="31" t="s">
        <v>97</v>
      </c>
    </row>
    <row r="7" spans="1:7" s="407" customFormat="1" ht="12.75" customHeight="1">
      <c r="A7" s="364" t="s">
        <v>486</v>
      </c>
      <c r="B7" s="929" t="s">
        <v>209</v>
      </c>
      <c r="C7" s="930"/>
      <c r="D7" s="574">
        <f>SUM(D36,D72)</f>
        <v>438737</v>
      </c>
      <c r="E7" s="574">
        <f>SUM(E36,E72)</f>
        <v>463843</v>
      </c>
      <c r="F7" s="574">
        <f>SUM(F36,F72)</f>
        <v>494297</v>
      </c>
      <c r="G7" s="642">
        <f>SUM(E7:F7)</f>
        <v>958140</v>
      </c>
    </row>
    <row r="8" spans="1:7" s="407" customFormat="1" ht="12.75" customHeight="1">
      <c r="A8" s="364"/>
      <c r="B8" s="619"/>
      <c r="C8" s="620"/>
      <c r="D8" s="592"/>
      <c r="E8" s="592"/>
      <c r="F8" s="592"/>
      <c r="G8" s="639"/>
    </row>
    <row r="9" spans="1:7" s="407" customFormat="1" ht="12.75" customHeight="1">
      <c r="A9" s="364"/>
      <c r="B9" s="929" t="s">
        <v>471</v>
      </c>
      <c r="C9" s="930"/>
      <c r="D9" s="592"/>
      <c r="E9" s="592"/>
      <c r="F9" s="592"/>
      <c r="G9" s="639"/>
    </row>
    <row r="10" spans="1:7" s="441" customFormat="1" ht="12">
      <c r="A10" s="364"/>
      <c r="B10" s="569" t="s">
        <v>128</v>
      </c>
      <c r="C10" s="630"/>
      <c r="D10" s="592"/>
      <c r="E10" s="592"/>
      <c r="F10" s="592"/>
      <c r="G10" s="641"/>
    </row>
    <row r="11" spans="1:7" s="441" customFormat="1" ht="12">
      <c r="A11" s="411" t="s">
        <v>247</v>
      </c>
      <c r="B11" s="570" t="s">
        <v>440</v>
      </c>
      <c r="C11" s="570" t="s">
        <v>441</v>
      </c>
      <c r="D11" s="592">
        <v>8400</v>
      </c>
      <c r="E11" s="592">
        <v>8400</v>
      </c>
      <c r="F11" s="592">
        <v>0</v>
      </c>
      <c r="G11" s="640">
        <f aca="true" t="shared" si="0" ref="G11:G17">SUM(E11:F11)</f>
        <v>8400</v>
      </c>
    </row>
    <row r="12" spans="1:7" s="441" customFormat="1" ht="12">
      <c r="A12" s="411" t="s">
        <v>248</v>
      </c>
      <c r="B12" s="570" t="s">
        <v>443</v>
      </c>
      <c r="C12" s="570" t="s">
        <v>444</v>
      </c>
      <c r="D12" s="592">
        <v>50000</v>
      </c>
      <c r="E12" s="592">
        <v>50000</v>
      </c>
      <c r="F12" s="592">
        <v>0</v>
      </c>
      <c r="G12" s="640">
        <f t="shared" si="0"/>
        <v>50000</v>
      </c>
    </row>
    <row r="13" spans="1:7" s="441" customFormat="1" ht="24">
      <c r="A13" s="411" t="s">
        <v>249</v>
      </c>
      <c r="B13" s="570" t="s">
        <v>328</v>
      </c>
      <c r="C13" s="643" t="s">
        <v>10</v>
      </c>
      <c r="D13" s="592">
        <v>100</v>
      </c>
      <c r="E13" s="592">
        <v>100</v>
      </c>
      <c r="F13" s="592">
        <v>0</v>
      </c>
      <c r="G13" s="640">
        <f t="shared" si="0"/>
        <v>100</v>
      </c>
    </row>
    <row r="14" spans="1:7" s="441" customFormat="1" ht="12">
      <c r="A14" s="411" t="s">
        <v>95</v>
      </c>
      <c r="B14" s="570" t="s">
        <v>627</v>
      </c>
      <c r="C14" s="643" t="s">
        <v>569</v>
      </c>
      <c r="D14" s="592">
        <v>0</v>
      </c>
      <c r="E14" s="592">
        <v>3540</v>
      </c>
      <c r="F14" s="592">
        <v>0</v>
      </c>
      <c r="G14" s="640">
        <f t="shared" si="0"/>
        <v>3540</v>
      </c>
    </row>
    <row r="15" spans="1:7" s="441" customFormat="1" ht="12">
      <c r="A15" s="411" t="s">
        <v>96</v>
      </c>
      <c r="B15" s="570" t="s">
        <v>570</v>
      </c>
      <c r="C15" s="643" t="s">
        <v>628</v>
      </c>
      <c r="D15" s="592">
        <v>0</v>
      </c>
      <c r="E15" s="592">
        <v>2000</v>
      </c>
      <c r="F15" s="592">
        <v>0</v>
      </c>
      <c r="G15" s="640">
        <f t="shared" si="0"/>
        <v>2000</v>
      </c>
    </row>
    <row r="16" spans="1:7" s="441" customFormat="1" ht="12">
      <c r="A16" s="411" t="s">
        <v>97</v>
      </c>
      <c r="B16" s="570" t="s">
        <v>479</v>
      </c>
      <c r="C16" s="643" t="s">
        <v>662</v>
      </c>
      <c r="D16" s="592">
        <v>0</v>
      </c>
      <c r="E16" s="592">
        <v>0</v>
      </c>
      <c r="F16" s="592">
        <v>402821</v>
      </c>
      <c r="G16" s="640">
        <f t="shared" si="0"/>
        <v>402821</v>
      </c>
    </row>
    <row r="17" spans="1:7" s="407" customFormat="1" ht="12">
      <c r="A17" s="364"/>
      <c r="B17" s="569" t="s">
        <v>47</v>
      </c>
      <c r="C17" s="569"/>
      <c r="D17" s="574">
        <f>SUM(D11:D16)</f>
        <v>58500</v>
      </c>
      <c r="E17" s="574">
        <f>SUM(E11:E16)</f>
        <v>64040</v>
      </c>
      <c r="F17" s="574">
        <f>SUM(F11:F16)</f>
        <v>402821</v>
      </c>
      <c r="G17" s="642">
        <f t="shared" si="0"/>
        <v>466861</v>
      </c>
    </row>
    <row r="18" spans="1:7" s="407" customFormat="1" ht="12">
      <c r="A18" s="364"/>
      <c r="B18" s="569" t="s">
        <v>479</v>
      </c>
      <c r="C18" s="569"/>
      <c r="D18" s="574"/>
      <c r="E18" s="574"/>
      <c r="F18" s="574"/>
      <c r="G18" s="642"/>
    </row>
    <row r="19" spans="1:7" s="441" customFormat="1" ht="12">
      <c r="A19" s="411"/>
      <c r="B19" s="578" t="s">
        <v>63</v>
      </c>
      <c r="C19" s="570"/>
      <c r="D19" s="592"/>
      <c r="E19" s="592"/>
      <c r="F19" s="592"/>
      <c r="G19" s="640"/>
    </row>
    <row r="20" spans="1:7" s="441" customFormat="1" ht="12">
      <c r="A20" s="411" t="s">
        <v>98</v>
      </c>
      <c r="B20" s="570" t="s">
        <v>128</v>
      </c>
      <c r="C20" s="570" t="s">
        <v>663</v>
      </c>
      <c r="D20" s="592">
        <v>0</v>
      </c>
      <c r="E20" s="592">
        <v>0</v>
      </c>
      <c r="F20" s="592">
        <v>73688</v>
      </c>
      <c r="G20" s="640">
        <f>SUM(E20:F20)</f>
        <v>73688</v>
      </c>
    </row>
    <row r="21" spans="1:7" s="441" customFormat="1" ht="12">
      <c r="A21" s="411"/>
      <c r="B21" s="578" t="s">
        <v>242</v>
      </c>
      <c r="C21" s="570"/>
      <c r="D21" s="592"/>
      <c r="E21" s="592"/>
      <c r="F21" s="592"/>
      <c r="G21" s="640"/>
    </row>
    <row r="22" spans="1:7" s="441" customFormat="1" ht="12">
      <c r="A22" s="411" t="s">
        <v>99</v>
      </c>
      <c r="B22" s="570" t="s">
        <v>128</v>
      </c>
      <c r="C22" s="570" t="s">
        <v>663</v>
      </c>
      <c r="D22" s="592">
        <v>0</v>
      </c>
      <c r="E22" s="592">
        <v>0</v>
      </c>
      <c r="F22" s="592">
        <v>11922</v>
      </c>
      <c r="G22" s="640">
        <f aca="true" t="shared" si="1" ref="G22:G35">SUM(E22:F22)</f>
        <v>11922</v>
      </c>
    </row>
    <row r="23" spans="1:7" s="441" customFormat="1" ht="12">
      <c r="A23" s="411"/>
      <c r="B23" s="578" t="s">
        <v>246</v>
      </c>
      <c r="C23" s="570"/>
      <c r="D23" s="592"/>
      <c r="E23" s="592"/>
      <c r="F23" s="592"/>
      <c r="G23" s="640"/>
    </row>
    <row r="24" spans="1:7" s="441" customFormat="1" ht="12">
      <c r="A24" s="411" t="s">
        <v>100</v>
      </c>
      <c r="B24" s="570" t="s">
        <v>128</v>
      </c>
      <c r="C24" s="570" t="s">
        <v>663</v>
      </c>
      <c r="D24" s="592">
        <v>0</v>
      </c>
      <c r="E24" s="592">
        <v>0</v>
      </c>
      <c r="F24" s="592">
        <v>19015</v>
      </c>
      <c r="G24" s="640">
        <f t="shared" si="1"/>
        <v>19015</v>
      </c>
    </row>
    <row r="25" spans="1:7" s="441" customFormat="1" ht="12">
      <c r="A25" s="411"/>
      <c r="B25" s="578" t="s">
        <v>270</v>
      </c>
      <c r="C25" s="570"/>
      <c r="D25" s="592"/>
      <c r="E25" s="592"/>
      <c r="F25" s="592"/>
      <c r="G25" s="640"/>
    </row>
    <row r="26" spans="1:7" s="441" customFormat="1" ht="12">
      <c r="A26" s="411" t="s">
        <v>101</v>
      </c>
      <c r="B26" s="570" t="s">
        <v>128</v>
      </c>
      <c r="C26" s="570" t="s">
        <v>663</v>
      </c>
      <c r="D26" s="592">
        <v>0</v>
      </c>
      <c r="E26" s="592">
        <v>0</v>
      </c>
      <c r="F26" s="592">
        <v>2470</v>
      </c>
      <c r="G26" s="640">
        <f t="shared" si="1"/>
        <v>2470</v>
      </c>
    </row>
    <row r="27" spans="1:7" s="441" customFormat="1" ht="12">
      <c r="A27" s="411"/>
      <c r="B27" s="578" t="s">
        <v>125</v>
      </c>
      <c r="C27" s="570"/>
      <c r="D27" s="592"/>
      <c r="E27" s="592"/>
      <c r="F27" s="592"/>
      <c r="G27" s="640"/>
    </row>
    <row r="28" spans="1:7" s="441" customFormat="1" ht="12">
      <c r="A28" s="411" t="s">
        <v>102</v>
      </c>
      <c r="B28" s="570" t="s">
        <v>128</v>
      </c>
      <c r="C28" s="570" t="s">
        <v>663</v>
      </c>
      <c r="D28" s="592">
        <v>0</v>
      </c>
      <c r="E28" s="592">
        <v>0</v>
      </c>
      <c r="F28" s="592">
        <v>5765</v>
      </c>
      <c r="G28" s="640">
        <f t="shared" si="1"/>
        <v>5765</v>
      </c>
    </row>
    <row r="29" spans="1:7" s="441" customFormat="1" ht="12">
      <c r="A29" s="411"/>
      <c r="B29" s="578" t="s">
        <v>271</v>
      </c>
      <c r="C29" s="570"/>
      <c r="D29" s="592"/>
      <c r="E29" s="592"/>
      <c r="F29" s="592"/>
      <c r="G29" s="640"/>
    </row>
    <row r="30" spans="1:7" s="441" customFormat="1" ht="12">
      <c r="A30" s="411" t="s">
        <v>103</v>
      </c>
      <c r="B30" s="570" t="s">
        <v>128</v>
      </c>
      <c r="C30" s="570" t="s">
        <v>663</v>
      </c>
      <c r="D30" s="592">
        <v>0</v>
      </c>
      <c r="E30" s="592">
        <v>0</v>
      </c>
      <c r="F30" s="592">
        <v>3540</v>
      </c>
      <c r="G30" s="640">
        <f t="shared" si="1"/>
        <v>3540</v>
      </c>
    </row>
    <row r="31" spans="1:7" s="441" customFormat="1" ht="12">
      <c r="A31" s="411"/>
      <c r="B31" s="578" t="s">
        <v>272</v>
      </c>
      <c r="C31" s="570"/>
      <c r="D31" s="592"/>
      <c r="E31" s="592"/>
      <c r="F31" s="592"/>
      <c r="G31" s="640"/>
    </row>
    <row r="32" spans="1:7" s="441" customFormat="1" ht="12">
      <c r="A32" s="411" t="s">
        <v>104</v>
      </c>
      <c r="B32" s="570" t="s">
        <v>128</v>
      </c>
      <c r="C32" s="570" t="s">
        <v>663</v>
      </c>
      <c r="D32" s="592">
        <v>0</v>
      </c>
      <c r="E32" s="592">
        <v>0</v>
      </c>
      <c r="F32" s="592">
        <v>523</v>
      </c>
      <c r="G32" s="640">
        <f t="shared" si="1"/>
        <v>523</v>
      </c>
    </row>
    <row r="33" spans="1:7" s="441" customFormat="1" ht="12">
      <c r="A33" s="411"/>
      <c r="B33" s="578" t="s">
        <v>127</v>
      </c>
      <c r="C33" s="570"/>
      <c r="D33" s="592"/>
      <c r="E33" s="592"/>
      <c r="F33" s="592"/>
      <c r="G33" s="640"/>
    </row>
    <row r="34" spans="1:7" s="441" customFormat="1" ht="12">
      <c r="A34" s="411" t="s">
        <v>283</v>
      </c>
      <c r="B34" s="570" t="s">
        <v>128</v>
      </c>
      <c r="C34" s="570" t="s">
        <v>663</v>
      </c>
      <c r="D34" s="592">
        <v>0</v>
      </c>
      <c r="E34" s="592">
        <v>0</v>
      </c>
      <c r="F34" s="592">
        <v>309</v>
      </c>
      <c r="G34" s="640">
        <f t="shared" si="1"/>
        <v>309</v>
      </c>
    </row>
    <row r="35" spans="1:7" s="441" customFormat="1" ht="12">
      <c r="A35" s="411"/>
      <c r="B35" s="572" t="s">
        <v>664</v>
      </c>
      <c r="C35" s="861"/>
      <c r="D35" s="574">
        <f>SUM(D20:D34)</f>
        <v>0</v>
      </c>
      <c r="E35" s="574">
        <f>SUM(E20:E34)</f>
        <v>0</v>
      </c>
      <c r="F35" s="574">
        <f>SUM(F20:F34)</f>
        <v>117232</v>
      </c>
      <c r="G35" s="642">
        <f t="shared" si="1"/>
        <v>117232</v>
      </c>
    </row>
    <row r="36" spans="1:7" s="407" customFormat="1" ht="12.75" customHeight="1">
      <c r="A36" s="364"/>
      <c r="B36" s="929" t="s">
        <v>477</v>
      </c>
      <c r="C36" s="930"/>
      <c r="D36" s="574">
        <f>SUM(D35,D17)</f>
        <v>58500</v>
      </c>
      <c r="E36" s="574">
        <f>SUM(E35,E17)</f>
        <v>64040</v>
      </c>
      <c r="F36" s="574">
        <f>SUM(F35,F17)</f>
        <v>520053</v>
      </c>
      <c r="G36" s="642">
        <f>SUM(E36:F36)</f>
        <v>584093</v>
      </c>
    </row>
    <row r="37" spans="1:7" s="407" customFormat="1" ht="12">
      <c r="A37" s="631"/>
      <c r="B37" s="647"/>
      <c r="C37" s="589"/>
      <c r="D37" s="592"/>
      <c r="E37" s="592"/>
      <c r="F37" s="592"/>
      <c r="G37" s="639"/>
    </row>
    <row r="38" spans="1:7" s="407" customFormat="1" ht="12.75" customHeight="1">
      <c r="A38" s="364"/>
      <c r="B38" s="929" t="s">
        <v>472</v>
      </c>
      <c r="C38" s="930"/>
      <c r="D38" s="592"/>
      <c r="E38" s="592"/>
      <c r="F38" s="592"/>
      <c r="G38" s="639"/>
    </row>
    <row r="39" spans="1:7" s="407" customFormat="1" ht="12">
      <c r="A39" s="364"/>
      <c r="B39" s="569" t="s">
        <v>128</v>
      </c>
      <c r="C39" s="569"/>
      <c r="D39" s="592"/>
      <c r="E39" s="592"/>
      <c r="F39" s="592"/>
      <c r="G39" s="639"/>
    </row>
    <row r="40" spans="1:7" s="441" customFormat="1" ht="12">
      <c r="A40" s="411" t="s">
        <v>284</v>
      </c>
      <c r="B40" s="570" t="s">
        <v>429</v>
      </c>
      <c r="C40" s="570" t="s">
        <v>92</v>
      </c>
      <c r="D40" s="592">
        <v>22000</v>
      </c>
      <c r="E40" s="592">
        <v>22000</v>
      </c>
      <c r="F40" s="592">
        <v>0</v>
      </c>
      <c r="G40" s="640">
        <f>SUM(E40:F40)</f>
        <v>22000</v>
      </c>
    </row>
    <row r="41" spans="1:7" s="441" customFormat="1" ht="12">
      <c r="A41" s="411" t="s">
        <v>395</v>
      </c>
      <c r="B41" s="570" t="s">
        <v>629</v>
      </c>
      <c r="C41" s="570" t="s">
        <v>442</v>
      </c>
      <c r="D41" s="592">
        <v>2000</v>
      </c>
      <c r="E41" s="592">
        <v>2000</v>
      </c>
      <c r="F41" s="592">
        <v>0</v>
      </c>
      <c r="G41" s="640">
        <f aca="true" t="shared" si="2" ref="G41:G51">SUM(E41:F41)</f>
        <v>2000</v>
      </c>
    </row>
    <row r="42" spans="1:7" s="441" customFormat="1" ht="12">
      <c r="A42" s="411" t="s">
        <v>399</v>
      </c>
      <c r="B42" s="570" t="s">
        <v>430</v>
      </c>
      <c r="C42" s="570" t="s">
        <v>442</v>
      </c>
      <c r="D42" s="592">
        <v>5000</v>
      </c>
      <c r="E42" s="592">
        <v>5000</v>
      </c>
      <c r="F42" s="592">
        <v>0</v>
      </c>
      <c r="G42" s="640">
        <f t="shared" si="2"/>
        <v>5000</v>
      </c>
    </row>
    <row r="43" spans="1:7" s="441" customFormat="1" ht="12">
      <c r="A43" s="411" t="s">
        <v>401</v>
      </c>
      <c r="B43" s="570" t="s">
        <v>445</v>
      </c>
      <c r="C43" s="570" t="s">
        <v>442</v>
      </c>
      <c r="D43" s="592">
        <v>65000</v>
      </c>
      <c r="E43" s="592">
        <v>65000</v>
      </c>
      <c r="F43" s="592">
        <v>0</v>
      </c>
      <c r="G43" s="640">
        <f t="shared" si="2"/>
        <v>65000</v>
      </c>
    </row>
    <row r="44" spans="1:7" s="441" customFormat="1" ht="12">
      <c r="A44" s="411" t="s">
        <v>402</v>
      </c>
      <c r="B44" s="590" t="s">
        <v>431</v>
      </c>
      <c r="C44" s="590" t="s">
        <v>442</v>
      </c>
      <c r="D44" s="648">
        <v>17370</v>
      </c>
      <c r="E44" s="648">
        <v>17370</v>
      </c>
      <c r="F44" s="648">
        <v>-150</v>
      </c>
      <c r="G44" s="640">
        <f t="shared" si="2"/>
        <v>17220</v>
      </c>
    </row>
    <row r="45" spans="1:7" s="441" customFormat="1" ht="12">
      <c r="A45" s="411" t="s">
        <v>404</v>
      </c>
      <c r="B45" s="590" t="s">
        <v>416</v>
      </c>
      <c r="C45" s="590" t="s">
        <v>442</v>
      </c>
      <c r="D45" s="648">
        <v>2600</v>
      </c>
      <c r="E45" s="648">
        <v>2600</v>
      </c>
      <c r="F45" s="648">
        <v>0</v>
      </c>
      <c r="G45" s="700">
        <f t="shared" si="2"/>
        <v>2600</v>
      </c>
    </row>
    <row r="46" spans="1:7" s="441" customFormat="1" ht="12">
      <c r="A46" s="649"/>
      <c r="B46" s="650" t="s">
        <v>323</v>
      </c>
      <c r="C46" s="591" t="s">
        <v>324</v>
      </c>
      <c r="D46" s="651">
        <v>1100</v>
      </c>
      <c r="E46" s="651">
        <v>1100</v>
      </c>
      <c r="F46" s="651">
        <v>0</v>
      </c>
      <c r="G46" s="701">
        <f t="shared" si="2"/>
        <v>1100</v>
      </c>
    </row>
    <row r="47" spans="1:7" s="441" customFormat="1" ht="12">
      <c r="A47" s="649" t="s">
        <v>405</v>
      </c>
      <c r="B47" s="591" t="s">
        <v>22</v>
      </c>
      <c r="C47" s="591" t="s">
        <v>442</v>
      </c>
      <c r="D47" s="651">
        <v>2000</v>
      </c>
      <c r="E47" s="651">
        <v>2000</v>
      </c>
      <c r="F47" s="651">
        <v>600</v>
      </c>
      <c r="G47" s="640">
        <f t="shared" si="2"/>
        <v>2600</v>
      </c>
    </row>
    <row r="48" spans="1:7" s="441" customFormat="1" ht="12">
      <c r="A48" s="649" t="s">
        <v>406</v>
      </c>
      <c r="B48" s="570" t="s">
        <v>74</v>
      </c>
      <c r="C48" s="570" t="s">
        <v>442</v>
      </c>
      <c r="D48" s="592">
        <v>1800</v>
      </c>
      <c r="E48" s="592">
        <v>1800</v>
      </c>
      <c r="F48" s="592">
        <v>0</v>
      </c>
      <c r="G48" s="640">
        <f t="shared" si="2"/>
        <v>1800</v>
      </c>
    </row>
    <row r="49" spans="1:7" s="441" customFormat="1" ht="12">
      <c r="A49" s="649" t="s">
        <v>409</v>
      </c>
      <c r="B49" s="570" t="s">
        <v>454</v>
      </c>
      <c r="C49" s="570" t="s">
        <v>442</v>
      </c>
      <c r="D49" s="592">
        <v>1500</v>
      </c>
      <c r="E49" s="592">
        <v>1500</v>
      </c>
      <c r="F49" s="592">
        <v>0</v>
      </c>
      <c r="G49" s="640">
        <f t="shared" si="2"/>
        <v>1500</v>
      </c>
    </row>
    <row r="50" spans="1:7" s="441" customFormat="1" ht="12">
      <c r="A50" s="649" t="s">
        <v>289</v>
      </c>
      <c r="B50" s="570" t="s">
        <v>388</v>
      </c>
      <c r="C50" s="570" t="s">
        <v>387</v>
      </c>
      <c r="D50" s="592">
        <v>124000</v>
      </c>
      <c r="E50" s="592">
        <v>124000</v>
      </c>
      <c r="F50" s="592">
        <v>0</v>
      </c>
      <c r="G50" s="640">
        <f t="shared" si="2"/>
        <v>124000</v>
      </c>
    </row>
    <row r="51" spans="1:7" s="441" customFormat="1" ht="12">
      <c r="A51" s="649" t="s">
        <v>290</v>
      </c>
      <c r="B51" s="570" t="s">
        <v>432</v>
      </c>
      <c r="C51" s="570" t="s">
        <v>350</v>
      </c>
      <c r="D51" s="592">
        <v>37600</v>
      </c>
      <c r="E51" s="592">
        <v>37600</v>
      </c>
      <c r="F51" s="592">
        <v>-37600</v>
      </c>
      <c r="G51" s="640">
        <f t="shared" si="2"/>
        <v>0</v>
      </c>
    </row>
    <row r="52" spans="1:7" s="441" customFormat="1" ht="24">
      <c r="A52" s="649" t="s">
        <v>292</v>
      </c>
      <c r="B52" s="570" t="s">
        <v>433</v>
      </c>
      <c r="C52" s="643" t="s">
        <v>420</v>
      </c>
      <c r="D52" s="592">
        <v>78254</v>
      </c>
      <c r="E52" s="592">
        <v>89179</v>
      </c>
      <c r="F52" s="592">
        <v>0</v>
      </c>
      <c r="G52" s="640">
        <f aca="true" t="shared" si="3" ref="G52:G68">SUM(E52:F52)</f>
        <v>89179</v>
      </c>
    </row>
    <row r="53" spans="1:7" s="441" customFormat="1" ht="12">
      <c r="A53" s="649" t="s">
        <v>294</v>
      </c>
      <c r="B53" s="570" t="s">
        <v>433</v>
      </c>
      <c r="C53" s="643" t="s">
        <v>265</v>
      </c>
      <c r="D53" s="592">
        <v>7500</v>
      </c>
      <c r="E53" s="592">
        <v>9587</v>
      </c>
      <c r="F53" s="592">
        <v>-9587</v>
      </c>
      <c r="G53" s="640">
        <f t="shared" si="3"/>
        <v>0</v>
      </c>
    </row>
    <row r="54" spans="1:7" s="441" customFormat="1" ht="24">
      <c r="A54" s="649" t="s">
        <v>511</v>
      </c>
      <c r="B54" s="643" t="s">
        <v>11</v>
      </c>
      <c r="C54" s="643" t="s">
        <v>10</v>
      </c>
      <c r="D54" s="592">
        <v>200</v>
      </c>
      <c r="E54" s="592">
        <v>800</v>
      </c>
      <c r="F54" s="592">
        <v>0</v>
      </c>
      <c r="G54" s="640">
        <f t="shared" si="3"/>
        <v>800</v>
      </c>
    </row>
    <row r="55" spans="1:7" s="441" customFormat="1" ht="24">
      <c r="A55" s="649" t="s">
        <v>512</v>
      </c>
      <c r="B55" s="570" t="s">
        <v>329</v>
      </c>
      <c r="C55" s="643" t="s">
        <v>10</v>
      </c>
      <c r="D55" s="592">
        <v>100</v>
      </c>
      <c r="E55" s="592">
        <v>50</v>
      </c>
      <c r="F55" s="592">
        <v>-50</v>
      </c>
      <c r="G55" s="640">
        <f t="shared" si="3"/>
        <v>0</v>
      </c>
    </row>
    <row r="56" spans="1:7" s="441" customFormat="1" ht="24">
      <c r="A56" s="649" t="s">
        <v>513</v>
      </c>
      <c r="B56" s="570" t="s">
        <v>330</v>
      </c>
      <c r="C56" s="643" t="s">
        <v>10</v>
      </c>
      <c r="D56" s="592">
        <v>100</v>
      </c>
      <c r="E56" s="592">
        <v>100</v>
      </c>
      <c r="F56" s="592">
        <v>690</v>
      </c>
      <c r="G56" s="640">
        <f t="shared" si="3"/>
        <v>790</v>
      </c>
    </row>
    <row r="57" spans="1:7" s="441" customFormat="1" ht="24">
      <c r="A57" s="649" t="s">
        <v>514</v>
      </c>
      <c r="B57" s="570" t="s">
        <v>571</v>
      </c>
      <c r="C57" s="643" t="s">
        <v>10</v>
      </c>
      <c r="D57" s="592">
        <v>0</v>
      </c>
      <c r="E57" s="592">
        <v>50</v>
      </c>
      <c r="F57" s="592">
        <v>-50</v>
      </c>
      <c r="G57" s="640">
        <f t="shared" si="3"/>
        <v>0</v>
      </c>
    </row>
    <row r="58" spans="1:7" s="441" customFormat="1" ht="24">
      <c r="A58" s="649" t="s">
        <v>134</v>
      </c>
      <c r="B58" s="570" t="s">
        <v>331</v>
      </c>
      <c r="C58" s="643" t="s">
        <v>332</v>
      </c>
      <c r="D58" s="592">
        <v>95</v>
      </c>
      <c r="E58" s="592">
        <v>95</v>
      </c>
      <c r="F58" s="592">
        <v>-95</v>
      </c>
      <c r="G58" s="640">
        <f t="shared" si="3"/>
        <v>0</v>
      </c>
    </row>
    <row r="59" spans="1:7" s="441" customFormat="1" ht="12">
      <c r="A59" s="649" t="s">
        <v>117</v>
      </c>
      <c r="B59" s="570" t="s">
        <v>286</v>
      </c>
      <c r="C59" s="570" t="s">
        <v>287</v>
      </c>
      <c r="D59" s="592">
        <v>5000</v>
      </c>
      <c r="E59" s="592">
        <v>5000</v>
      </c>
      <c r="F59" s="592">
        <v>0</v>
      </c>
      <c r="G59" s="640">
        <f t="shared" si="3"/>
        <v>5000</v>
      </c>
    </row>
    <row r="60" spans="1:7" s="441" customFormat="1" ht="12">
      <c r="A60" s="649" t="s">
        <v>260</v>
      </c>
      <c r="B60" s="570" t="s">
        <v>542</v>
      </c>
      <c r="C60" s="570" t="s">
        <v>543</v>
      </c>
      <c r="D60" s="592">
        <v>0</v>
      </c>
      <c r="E60" s="592">
        <v>364</v>
      </c>
      <c r="F60" s="592">
        <v>0</v>
      </c>
      <c r="G60" s="640">
        <f t="shared" si="3"/>
        <v>364</v>
      </c>
    </row>
    <row r="61" spans="1:7" s="441" customFormat="1" ht="12">
      <c r="A61" s="649" t="s">
        <v>261</v>
      </c>
      <c r="B61" s="570" t="s">
        <v>630</v>
      </c>
      <c r="C61" s="570" t="s">
        <v>442</v>
      </c>
      <c r="D61" s="592">
        <v>0</v>
      </c>
      <c r="E61" s="592">
        <v>3490</v>
      </c>
      <c r="F61" s="592">
        <v>920</v>
      </c>
      <c r="G61" s="640">
        <f t="shared" si="3"/>
        <v>4410</v>
      </c>
    </row>
    <row r="62" spans="1:7" s="441" customFormat="1" ht="24">
      <c r="A62" s="649" t="s">
        <v>302</v>
      </c>
      <c r="B62" s="570" t="s">
        <v>606</v>
      </c>
      <c r="C62" s="643" t="s">
        <v>607</v>
      </c>
      <c r="D62" s="592">
        <v>0</v>
      </c>
      <c r="E62" s="592">
        <v>100</v>
      </c>
      <c r="F62" s="592">
        <v>0</v>
      </c>
      <c r="G62" s="640">
        <f t="shared" si="3"/>
        <v>100</v>
      </c>
    </row>
    <row r="63" spans="1:7" s="441" customFormat="1" ht="24">
      <c r="A63" s="649" t="s">
        <v>585</v>
      </c>
      <c r="B63" s="570" t="s">
        <v>608</v>
      </c>
      <c r="C63" s="643" t="s">
        <v>609</v>
      </c>
      <c r="D63" s="592">
        <v>0</v>
      </c>
      <c r="E63" s="592">
        <v>2000</v>
      </c>
      <c r="F63" s="592">
        <v>0</v>
      </c>
      <c r="G63" s="640">
        <f t="shared" si="3"/>
        <v>2000</v>
      </c>
    </row>
    <row r="64" spans="1:7" s="441" customFormat="1" ht="12">
      <c r="A64" s="649" t="s">
        <v>586</v>
      </c>
      <c r="B64" s="570" t="s">
        <v>433</v>
      </c>
      <c r="C64" s="643" t="s">
        <v>665</v>
      </c>
      <c r="D64" s="592">
        <v>0</v>
      </c>
      <c r="E64" s="592">
        <v>0</v>
      </c>
      <c r="F64" s="592">
        <v>10035</v>
      </c>
      <c r="G64" s="640">
        <f t="shared" si="3"/>
        <v>10035</v>
      </c>
    </row>
    <row r="65" spans="1:7" s="441" customFormat="1" ht="12">
      <c r="A65" s="649" t="s">
        <v>587</v>
      </c>
      <c r="B65" s="570" t="s">
        <v>666</v>
      </c>
      <c r="C65" s="643" t="s">
        <v>442</v>
      </c>
      <c r="D65" s="592">
        <v>0</v>
      </c>
      <c r="E65" s="592">
        <v>0</v>
      </c>
      <c r="F65" s="592">
        <v>7810</v>
      </c>
      <c r="G65" s="640">
        <f t="shared" si="3"/>
        <v>7810</v>
      </c>
    </row>
    <row r="66" spans="1:7" s="441" customFormat="1" ht="24">
      <c r="A66" s="649" t="s">
        <v>670</v>
      </c>
      <c r="B66" s="570" t="s">
        <v>667</v>
      </c>
      <c r="C66" s="643" t="s">
        <v>668</v>
      </c>
      <c r="D66" s="592">
        <v>0</v>
      </c>
      <c r="E66" s="592">
        <v>0</v>
      </c>
      <c r="F66" s="592">
        <v>887</v>
      </c>
      <c r="G66" s="640">
        <f t="shared" si="3"/>
        <v>887</v>
      </c>
    </row>
    <row r="67" spans="1:7" s="441" customFormat="1" ht="24">
      <c r="A67" s="649" t="s">
        <v>671</v>
      </c>
      <c r="B67" s="570" t="s">
        <v>667</v>
      </c>
      <c r="C67" s="643" t="s">
        <v>669</v>
      </c>
      <c r="D67" s="592">
        <v>0</v>
      </c>
      <c r="E67" s="592">
        <v>0</v>
      </c>
      <c r="F67" s="592">
        <v>834</v>
      </c>
      <c r="G67" s="640">
        <f t="shared" si="3"/>
        <v>834</v>
      </c>
    </row>
    <row r="68" spans="1:7" s="407" customFormat="1" ht="12">
      <c r="A68" s="364"/>
      <c r="B68" s="569" t="s">
        <v>47</v>
      </c>
      <c r="C68" s="569"/>
      <c r="D68" s="574">
        <f>SUM(D40:D67)-D46</f>
        <v>372119</v>
      </c>
      <c r="E68" s="574">
        <f>SUM(E40:E67)-E46</f>
        <v>391685</v>
      </c>
      <c r="F68" s="574">
        <f>SUM(F40:F67)-F46</f>
        <v>-25756</v>
      </c>
      <c r="G68" s="642">
        <f t="shared" si="3"/>
        <v>365929</v>
      </c>
    </row>
    <row r="69" spans="1:7" s="441" customFormat="1" ht="12">
      <c r="A69" s="364"/>
      <c r="B69" s="569" t="s">
        <v>479</v>
      </c>
      <c r="C69" s="570"/>
      <c r="D69" s="592"/>
      <c r="E69" s="592"/>
      <c r="F69" s="592"/>
      <c r="G69" s="641"/>
    </row>
    <row r="70" spans="1:7" s="441" customFormat="1" ht="24">
      <c r="A70" s="411" t="s">
        <v>672</v>
      </c>
      <c r="B70" s="570" t="s">
        <v>361</v>
      </c>
      <c r="C70" s="643" t="s">
        <v>362</v>
      </c>
      <c r="D70" s="592">
        <v>8118</v>
      </c>
      <c r="E70" s="592">
        <v>8118</v>
      </c>
      <c r="F70" s="592">
        <v>0</v>
      </c>
      <c r="G70" s="640">
        <f>SUM(E70:F70)</f>
        <v>8118</v>
      </c>
    </row>
    <row r="71" spans="1:7" s="407" customFormat="1" ht="12">
      <c r="A71" s="364"/>
      <c r="B71" s="569" t="s">
        <v>240</v>
      </c>
      <c r="C71" s="569"/>
      <c r="D71" s="574">
        <f>SUM(D70)</f>
        <v>8118</v>
      </c>
      <c r="E71" s="574">
        <f>SUM(E70)</f>
        <v>8118</v>
      </c>
      <c r="F71" s="574">
        <f>SUM(F70)</f>
        <v>0</v>
      </c>
      <c r="G71" s="642">
        <f>SUM(E71:F71)</f>
        <v>8118</v>
      </c>
    </row>
    <row r="72" spans="1:7" s="407" customFormat="1" ht="12.75" customHeight="1">
      <c r="A72" s="364"/>
      <c r="B72" s="929" t="s">
        <v>523</v>
      </c>
      <c r="C72" s="930"/>
      <c r="D72" s="574">
        <f>SUM(D68,D71)</f>
        <v>380237</v>
      </c>
      <c r="E72" s="574">
        <f>SUM(E68,E71)</f>
        <v>399803</v>
      </c>
      <c r="F72" s="574">
        <f>SUM(F68,F71)</f>
        <v>-25756</v>
      </c>
      <c r="G72" s="642">
        <f>SUM(E72:F72)</f>
        <v>374047</v>
      </c>
    </row>
    <row r="73" spans="1:7" s="407" customFormat="1" ht="12.75" customHeight="1">
      <c r="A73" s="364" t="s">
        <v>397</v>
      </c>
      <c r="B73" s="929" t="s">
        <v>210</v>
      </c>
      <c r="C73" s="930"/>
      <c r="D73" s="593">
        <f>SUM(D95,D122)</f>
        <v>207732</v>
      </c>
      <c r="E73" s="593">
        <f>SUM(E95,E122)</f>
        <v>2251215</v>
      </c>
      <c r="F73" s="593">
        <f>SUM(F95,F122)</f>
        <v>178212</v>
      </c>
      <c r="G73" s="642">
        <f>SUM(E73:F73)</f>
        <v>2429427</v>
      </c>
    </row>
    <row r="74" spans="1:7" s="407" customFormat="1" ht="12.75" customHeight="1">
      <c r="A74" s="364"/>
      <c r="B74" s="929" t="s">
        <v>473</v>
      </c>
      <c r="C74" s="930"/>
      <c r="D74" s="594"/>
      <c r="E74" s="594"/>
      <c r="F74" s="594"/>
      <c r="G74" s="640"/>
    </row>
    <row r="75" spans="1:7" s="441" customFormat="1" ht="12">
      <c r="A75" s="364"/>
      <c r="B75" s="569" t="s">
        <v>128</v>
      </c>
      <c r="C75" s="634"/>
      <c r="D75" s="594"/>
      <c r="E75" s="594"/>
      <c r="F75" s="594"/>
      <c r="G75" s="640"/>
    </row>
    <row r="76" spans="1:7" s="441" customFormat="1" ht="12">
      <c r="A76" s="411" t="s">
        <v>247</v>
      </c>
      <c r="B76" s="629" t="s">
        <v>434</v>
      </c>
      <c r="C76" s="629" t="s">
        <v>435</v>
      </c>
      <c r="D76" s="594">
        <v>85501</v>
      </c>
      <c r="E76" s="594">
        <v>1584341</v>
      </c>
      <c r="F76" s="594">
        <v>0</v>
      </c>
      <c r="G76" s="640">
        <f aca="true" t="shared" si="4" ref="G76:G82">SUM(E76:F76)</f>
        <v>1584341</v>
      </c>
    </row>
    <row r="77" spans="1:7" s="441" customFormat="1" ht="12">
      <c r="A77" s="652" t="s">
        <v>248</v>
      </c>
      <c r="B77" s="629" t="s">
        <v>436</v>
      </c>
      <c r="C77" s="629" t="s">
        <v>309</v>
      </c>
      <c r="D77" s="594">
        <v>6000</v>
      </c>
      <c r="E77" s="594">
        <v>6000</v>
      </c>
      <c r="F77" s="594">
        <v>0</v>
      </c>
      <c r="G77" s="640">
        <f t="shared" si="4"/>
        <v>6000</v>
      </c>
    </row>
    <row r="78" spans="1:7" s="441" customFormat="1" ht="12">
      <c r="A78" s="652" t="s">
        <v>249</v>
      </c>
      <c r="B78" s="629" t="s">
        <v>572</v>
      </c>
      <c r="C78" s="629" t="s">
        <v>573</v>
      </c>
      <c r="D78" s="594">
        <v>0</v>
      </c>
      <c r="E78" s="594">
        <v>10540</v>
      </c>
      <c r="F78" s="594">
        <v>0</v>
      </c>
      <c r="G78" s="640">
        <f t="shared" si="4"/>
        <v>10540</v>
      </c>
    </row>
    <row r="79" spans="1:7" s="441" customFormat="1" ht="24">
      <c r="A79" s="652" t="s">
        <v>95</v>
      </c>
      <c r="B79" s="595" t="s">
        <v>537</v>
      </c>
      <c r="C79" s="595" t="s">
        <v>392</v>
      </c>
      <c r="D79" s="594">
        <v>0</v>
      </c>
      <c r="E79" s="594">
        <v>0</v>
      </c>
      <c r="F79" s="594">
        <v>10000</v>
      </c>
      <c r="G79" s="640">
        <f t="shared" si="4"/>
        <v>10000</v>
      </c>
    </row>
    <row r="80" spans="1:7" s="441" customFormat="1" ht="12">
      <c r="A80" s="652" t="s">
        <v>96</v>
      </c>
      <c r="B80" s="697" t="s">
        <v>537</v>
      </c>
      <c r="C80" s="696" t="s">
        <v>455</v>
      </c>
      <c r="D80" s="594">
        <v>0</v>
      </c>
      <c r="E80" s="594">
        <v>0</v>
      </c>
      <c r="F80" s="594">
        <v>10000</v>
      </c>
      <c r="G80" s="640">
        <f t="shared" si="4"/>
        <v>10000</v>
      </c>
    </row>
    <row r="81" spans="1:7" s="441" customFormat="1" ht="12">
      <c r="A81" s="652" t="s">
        <v>97</v>
      </c>
      <c r="B81" s="570" t="s">
        <v>479</v>
      </c>
      <c r="C81" s="643" t="s">
        <v>662</v>
      </c>
      <c r="D81" s="594">
        <v>0</v>
      </c>
      <c r="E81" s="594">
        <v>0</v>
      </c>
      <c r="F81" s="594">
        <v>114272</v>
      </c>
      <c r="G81" s="640">
        <f t="shared" si="4"/>
        <v>114272</v>
      </c>
    </row>
    <row r="82" spans="1:7" s="407" customFormat="1" ht="12">
      <c r="A82" s="862"/>
      <c r="B82" s="630" t="s">
        <v>47</v>
      </c>
      <c r="C82" s="630"/>
      <c r="D82" s="593">
        <f>SUM(D76:D81)</f>
        <v>91501</v>
      </c>
      <c r="E82" s="593">
        <f>SUM(E76:E81)</f>
        <v>1600881</v>
      </c>
      <c r="F82" s="593">
        <f>SUM(F76:F81)</f>
        <v>134272</v>
      </c>
      <c r="G82" s="642">
        <f t="shared" si="4"/>
        <v>1735153</v>
      </c>
    </row>
    <row r="83" spans="1:7" s="441" customFormat="1" ht="12">
      <c r="A83" s="652"/>
      <c r="B83" s="588" t="s">
        <v>479</v>
      </c>
      <c r="C83" s="629"/>
      <c r="D83" s="594"/>
      <c r="E83" s="594"/>
      <c r="F83" s="594"/>
      <c r="G83" s="640"/>
    </row>
    <row r="84" spans="1:7" s="441" customFormat="1" ht="12">
      <c r="A84" s="652"/>
      <c r="B84" s="588" t="s">
        <v>63</v>
      </c>
      <c r="C84" s="629"/>
      <c r="D84" s="594"/>
      <c r="E84" s="594"/>
      <c r="F84" s="594"/>
      <c r="G84" s="640"/>
    </row>
    <row r="85" spans="1:7" s="441" customFormat="1" ht="12">
      <c r="A85" s="652" t="s">
        <v>98</v>
      </c>
      <c r="B85" s="629" t="s">
        <v>128</v>
      </c>
      <c r="C85" s="629" t="s">
        <v>663</v>
      </c>
      <c r="D85" s="594">
        <v>0</v>
      </c>
      <c r="E85" s="594">
        <v>0</v>
      </c>
      <c r="F85" s="594">
        <v>69040</v>
      </c>
      <c r="G85" s="640">
        <f>SUM(E85:F85)</f>
        <v>69040</v>
      </c>
    </row>
    <row r="86" spans="1:7" s="441" customFormat="1" ht="12">
      <c r="A86" s="652"/>
      <c r="B86" s="588" t="s">
        <v>246</v>
      </c>
      <c r="C86" s="629"/>
      <c r="D86" s="594"/>
      <c r="E86" s="594"/>
      <c r="F86" s="594"/>
      <c r="G86" s="640"/>
    </row>
    <row r="87" spans="1:7" s="441" customFormat="1" ht="12">
      <c r="A87" s="652" t="s">
        <v>99</v>
      </c>
      <c r="B87" s="629" t="s">
        <v>128</v>
      </c>
      <c r="C87" s="629" t="s">
        <v>663</v>
      </c>
      <c r="D87" s="594">
        <v>0</v>
      </c>
      <c r="E87" s="594">
        <v>0</v>
      </c>
      <c r="F87" s="594">
        <v>860</v>
      </c>
      <c r="G87" s="640">
        <f aca="true" t="shared" si="5" ref="G87:G94">SUM(E87:F87)</f>
        <v>860</v>
      </c>
    </row>
    <row r="88" spans="1:7" s="441" customFormat="1" ht="12">
      <c r="A88" s="652"/>
      <c r="B88" s="588" t="s">
        <v>271</v>
      </c>
      <c r="C88" s="629"/>
      <c r="D88" s="594"/>
      <c r="E88" s="594"/>
      <c r="F88" s="594"/>
      <c r="G88" s="640"/>
    </row>
    <row r="89" spans="1:7" s="441" customFormat="1" ht="12">
      <c r="A89" s="652" t="s">
        <v>100</v>
      </c>
      <c r="B89" s="629" t="s">
        <v>128</v>
      </c>
      <c r="C89" s="629" t="s">
        <v>663</v>
      </c>
      <c r="D89" s="594">
        <v>0</v>
      </c>
      <c r="E89" s="594">
        <v>0</v>
      </c>
      <c r="F89" s="594">
        <v>1</v>
      </c>
      <c r="G89" s="640">
        <f t="shared" si="5"/>
        <v>1</v>
      </c>
    </row>
    <row r="90" spans="1:7" s="441" customFormat="1" ht="12">
      <c r="A90" s="652"/>
      <c r="B90" s="588" t="s">
        <v>272</v>
      </c>
      <c r="C90" s="629"/>
      <c r="D90" s="594"/>
      <c r="E90" s="594"/>
      <c r="F90" s="594"/>
      <c r="G90" s="640"/>
    </row>
    <row r="91" spans="1:7" s="441" customFormat="1" ht="12">
      <c r="A91" s="652" t="s">
        <v>101</v>
      </c>
      <c r="B91" s="629" t="s">
        <v>128</v>
      </c>
      <c r="C91" s="629" t="s">
        <v>663</v>
      </c>
      <c r="D91" s="594">
        <v>0</v>
      </c>
      <c r="E91" s="594">
        <v>0</v>
      </c>
      <c r="F91" s="594">
        <v>400</v>
      </c>
      <c r="G91" s="640">
        <f t="shared" si="5"/>
        <v>400</v>
      </c>
    </row>
    <row r="92" spans="1:7" s="441" customFormat="1" ht="12">
      <c r="A92" s="652"/>
      <c r="B92" s="588" t="s">
        <v>127</v>
      </c>
      <c r="C92" s="629"/>
      <c r="D92" s="594"/>
      <c r="E92" s="594"/>
      <c r="F92" s="594"/>
      <c r="G92" s="640"/>
    </row>
    <row r="93" spans="1:7" s="441" customFormat="1" ht="12">
      <c r="A93" s="652" t="s">
        <v>102</v>
      </c>
      <c r="B93" s="629" t="s">
        <v>128</v>
      </c>
      <c r="C93" s="629" t="s">
        <v>663</v>
      </c>
      <c r="D93" s="594">
        <v>0</v>
      </c>
      <c r="E93" s="594">
        <v>0</v>
      </c>
      <c r="F93" s="594">
        <v>57</v>
      </c>
      <c r="G93" s="640">
        <f t="shared" si="5"/>
        <v>57</v>
      </c>
    </row>
    <row r="94" spans="1:7" s="407" customFormat="1" ht="12">
      <c r="A94" s="862"/>
      <c r="B94" s="630" t="s">
        <v>240</v>
      </c>
      <c r="C94" s="630"/>
      <c r="D94" s="593">
        <f>SUM(D85:D93)</f>
        <v>0</v>
      </c>
      <c r="E94" s="593">
        <f>SUM(E85:E93)</f>
        <v>0</v>
      </c>
      <c r="F94" s="593">
        <f>SUM(F85:F93)</f>
        <v>70358</v>
      </c>
      <c r="G94" s="642">
        <f t="shared" si="5"/>
        <v>70358</v>
      </c>
    </row>
    <row r="95" spans="1:7" s="407" customFormat="1" ht="12.75" customHeight="1">
      <c r="A95" s="364"/>
      <c r="B95" s="928" t="s">
        <v>474</v>
      </c>
      <c r="C95" s="928"/>
      <c r="D95" s="593">
        <f>SUM(D82,D94)</f>
        <v>91501</v>
      </c>
      <c r="E95" s="593">
        <f>SUM(E82,E94)</f>
        <v>1600881</v>
      </c>
      <c r="F95" s="593">
        <f>SUM(F82,F94)</f>
        <v>204630</v>
      </c>
      <c r="G95" s="642">
        <f>SUM(E95:F95)</f>
        <v>1805511</v>
      </c>
    </row>
    <row r="96" spans="1:7" s="407" customFormat="1" ht="12.75" customHeight="1">
      <c r="A96" s="364"/>
      <c r="B96" s="928" t="s">
        <v>475</v>
      </c>
      <c r="C96" s="928"/>
      <c r="D96" s="592"/>
      <c r="E96" s="592"/>
      <c r="F96" s="592"/>
      <c r="G96" s="639"/>
    </row>
    <row r="97" spans="1:7" s="407" customFormat="1" ht="12">
      <c r="A97" s="644"/>
      <c r="B97" s="569" t="s">
        <v>128</v>
      </c>
      <c r="C97" s="630"/>
      <c r="D97" s="592"/>
      <c r="E97" s="592"/>
      <c r="F97" s="592"/>
      <c r="G97" s="639"/>
    </row>
    <row r="98" spans="1:7" s="441" customFormat="1" ht="12">
      <c r="A98" s="411" t="s">
        <v>103</v>
      </c>
      <c r="B98" s="629" t="s">
        <v>446</v>
      </c>
      <c r="C98" s="629" t="s">
        <v>437</v>
      </c>
      <c r="D98" s="592">
        <v>15000</v>
      </c>
      <c r="E98" s="592">
        <v>15000</v>
      </c>
      <c r="F98" s="592">
        <v>0</v>
      </c>
      <c r="G98" s="640">
        <f aca="true" t="shared" si="6" ref="G98:G117">SUM(E98:F98)</f>
        <v>15000</v>
      </c>
    </row>
    <row r="99" spans="1:7" s="441" customFormat="1" ht="12">
      <c r="A99" s="411" t="s">
        <v>104</v>
      </c>
      <c r="B99" s="570" t="s">
        <v>12</v>
      </c>
      <c r="C99" s="570" t="s">
        <v>55</v>
      </c>
      <c r="D99" s="592">
        <v>5000</v>
      </c>
      <c r="E99" s="592">
        <v>5000</v>
      </c>
      <c r="F99" s="592">
        <v>0</v>
      </c>
      <c r="G99" s="640">
        <f t="shared" si="6"/>
        <v>5000</v>
      </c>
    </row>
    <row r="100" spans="1:7" s="441" customFormat="1" ht="12">
      <c r="A100" s="411" t="s">
        <v>283</v>
      </c>
      <c r="B100" s="629" t="s">
        <v>433</v>
      </c>
      <c r="C100" s="629" t="s">
        <v>438</v>
      </c>
      <c r="D100" s="645">
        <v>11931</v>
      </c>
      <c r="E100" s="645">
        <v>12867</v>
      </c>
      <c r="F100" s="645">
        <v>0</v>
      </c>
      <c r="G100" s="640">
        <f t="shared" si="6"/>
        <v>12867</v>
      </c>
    </row>
    <row r="101" spans="1:7" s="441" customFormat="1" ht="12">
      <c r="A101" s="411" t="s">
        <v>284</v>
      </c>
      <c r="B101" s="629" t="s">
        <v>91</v>
      </c>
      <c r="C101" s="629" t="s">
        <v>389</v>
      </c>
      <c r="D101" s="645">
        <v>25000</v>
      </c>
      <c r="E101" s="645">
        <v>83666</v>
      </c>
      <c r="F101" s="645">
        <v>0</v>
      </c>
      <c r="G101" s="640">
        <f t="shared" si="6"/>
        <v>83666</v>
      </c>
    </row>
    <row r="102" spans="1:7" s="441" customFormat="1" ht="24">
      <c r="A102" s="411" t="s">
        <v>395</v>
      </c>
      <c r="B102" s="629" t="s">
        <v>91</v>
      </c>
      <c r="C102" s="438" t="s">
        <v>32</v>
      </c>
      <c r="D102" s="645">
        <v>10000</v>
      </c>
      <c r="E102" s="645">
        <v>20000</v>
      </c>
      <c r="F102" s="645">
        <v>0</v>
      </c>
      <c r="G102" s="640">
        <f t="shared" si="6"/>
        <v>20000</v>
      </c>
    </row>
    <row r="103" spans="1:7" s="441" customFormat="1" ht="12">
      <c r="A103" s="411" t="s">
        <v>399</v>
      </c>
      <c r="B103" s="570" t="s">
        <v>429</v>
      </c>
      <c r="C103" s="438" t="s">
        <v>333</v>
      </c>
      <c r="D103" s="645">
        <v>2000</v>
      </c>
      <c r="E103" s="645">
        <v>2000</v>
      </c>
      <c r="F103" s="645">
        <v>0</v>
      </c>
      <c r="G103" s="640">
        <f t="shared" si="6"/>
        <v>2000</v>
      </c>
    </row>
    <row r="104" spans="1:7" s="441" customFormat="1" ht="12">
      <c r="A104" s="411" t="s">
        <v>401</v>
      </c>
      <c r="B104" s="570" t="s">
        <v>390</v>
      </c>
      <c r="C104" s="643" t="s">
        <v>391</v>
      </c>
      <c r="D104" s="592">
        <v>3000</v>
      </c>
      <c r="E104" s="592">
        <v>3000</v>
      </c>
      <c r="F104" s="592">
        <v>0</v>
      </c>
      <c r="G104" s="640">
        <f t="shared" si="6"/>
        <v>3000</v>
      </c>
    </row>
    <row r="105" spans="1:7" s="441" customFormat="1" ht="12.75" customHeight="1">
      <c r="A105" s="411" t="s">
        <v>402</v>
      </c>
      <c r="B105" s="595" t="s">
        <v>327</v>
      </c>
      <c r="C105" s="643" t="s">
        <v>325</v>
      </c>
      <c r="D105" s="592">
        <v>300</v>
      </c>
      <c r="E105" s="592">
        <v>300</v>
      </c>
      <c r="F105" s="592">
        <v>0</v>
      </c>
      <c r="G105" s="640">
        <f t="shared" si="6"/>
        <v>300</v>
      </c>
    </row>
    <row r="106" spans="1:7" s="441" customFormat="1" ht="12.75" customHeight="1">
      <c r="A106" s="411" t="s">
        <v>404</v>
      </c>
      <c r="B106" s="595" t="s">
        <v>327</v>
      </c>
      <c r="C106" s="643" t="s">
        <v>326</v>
      </c>
      <c r="D106" s="592">
        <v>3000</v>
      </c>
      <c r="E106" s="592">
        <v>3000</v>
      </c>
      <c r="F106" s="592">
        <v>0</v>
      </c>
      <c r="G106" s="640">
        <f t="shared" si="6"/>
        <v>3000</v>
      </c>
    </row>
    <row r="107" spans="1:7" s="441" customFormat="1" ht="12.75" customHeight="1">
      <c r="A107" s="411" t="s">
        <v>405</v>
      </c>
      <c r="B107" s="595" t="s">
        <v>537</v>
      </c>
      <c r="C107" s="595" t="s">
        <v>392</v>
      </c>
      <c r="D107" s="592">
        <v>20000</v>
      </c>
      <c r="E107" s="592">
        <v>10000</v>
      </c>
      <c r="F107" s="592">
        <v>-10000</v>
      </c>
      <c r="G107" s="640">
        <f t="shared" si="6"/>
        <v>0</v>
      </c>
    </row>
    <row r="108" spans="1:7" s="441" customFormat="1" ht="12.75" customHeight="1">
      <c r="A108" s="411" t="s">
        <v>406</v>
      </c>
      <c r="B108" s="697" t="s">
        <v>537</v>
      </c>
      <c r="C108" s="696" t="s">
        <v>455</v>
      </c>
      <c r="D108" s="592">
        <v>10000</v>
      </c>
      <c r="E108" s="592">
        <v>10000</v>
      </c>
      <c r="F108" s="592">
        <v>-10000</v>
      </c>
      <c r="G108" s="640">
        <f t="shared" si="6"/>
        <v>0</v>
      </c>
    </row>
    <row r="109" spans="1:7" s="441" customFormat="1" ht="24" customHeight="1">
      <c r="A109" s="411" t="s">
        <v>409</v>
      </c>
      <c r="B109" s="697" t="s">
        <v>322</v>
      </c>
      <c r="C109" s="695" t="s">
        <v>517</v>
      </c>
      <c r="D109" s="592">
        <v>11000</v>
      </c>
      <c r="E109" s="592">
        <v>11000</v>
      </c>
      <c r="F109" s="592">
        <v>0</v>
      </c>
      <c r="G109" s="640">
        <f t="shared" si="6"/>
        <v>11000</v>
      </c>
    </row>
    <row r="110" spans="1:7" s="441" customFormat="1" ht="24" customHeight="1">
      <c r="A110" s="411" t="s">
        <v>289</v>
      </c>
      <c r="B110" s="697" t="s">
        <v>574</v>
      </c>
      <c r="C110" s="695" t="s">
        <v>575</v>
      </c>
      <c r="D110" s="592">
        <v>0</v>
      </c>
      <c r="E110" s="592">
        <v>1000</v>
      </c>
      <c r="F110" s="592">
        <v>0</v>
      </c>
      <c r="G110" s="640">
        <f t="shared" si="6"/>
        <v>1000</v>
      </c>
    </row>
    <row r="111" spans="1:7" s="441" customFormat="1" ht="12.75" customHeight="1">
      <c r="A111" s="411" t="s">
        <v>290</v>
      </c>
      <c r="B111" s="697" t="s">
        <v>576</v>
      </c>
      <c r="C111" s="695" t="s">
        <v>631</v>
      </c>
      <c r="D111" s="592">
        <v>0</v>
      </c>
      <c r="E111" s="592">
        <v>400000</v>
      </c>
      <c r="F111" s="592">
        <v>0</v>
      </c>
      <c r="G111" s="640">
        <f t="shared" si="6"/>
        <v>400000</v>
      </c>
    </row>
    <row r="112" spans="1:7" s="441" customFormat="1" ht="12.75" customHeight="1">
      <c r="A112" s="411" t="s">
        <v>292</v>
      </c>
      <c r="B112" s="697" t="s">
        <v>578</v>
      </c>
      <c r="C112" s="695" t="s">
        <v>579</v>
      </c>
      <c r="D112" s="592">
        <v>0</v>
      </c>
      <c r="E112" s="592">
        <v>843</v>
      </c>
      <c r="F112" s="592">
        <v>0</v>
      </c>
      <c r="G112" s="640">
        <f t="shared" si="6"/>
        <v>843</v>
      </c>
    </row>
    <row r="113" spans="1:7" s="441" customFormat="1" ht="23.25" customHeight="1">
      <c r="A113" s="411" t="s">
        <v>294</v>
      </c>
      <c r="B113" s="697" t="s">
        <v>322</v>
      </c>
      <c r="C113" s="695" t="s">
        <v>580</v>
      </c>
      <c r="D113" s="592">
        <v>0</v>
      </c>
      <c r="E113" s="592">
        <v>6418</v>
      </c>
      <c r="F113" s="592">
        <v>-6418</v>
      </c>
      <c r="G113" s="640">
        <f t="shared" si="6"/>
        <v>0</v>
      </c>
    </row>
    <row r="114" spans="1:7" s="441" customFormat="1" ht="12" customHeight="1">
      <c r="A114" s="411" t="s">
        <v>511</v>
      </c>
      <c r="B114" s="697" t="s">
        <v>322</v>
      </c>
      <c r="C114" s="695" t="s">
        <v>581</v>
      </c>
      <c r="D114" s="592">
        <v>0</v>
      </c>
      <c r="E114" s="592">
        <v>33100</v>
      </c>
      <c r="F114" s="592">
        <v>0</v>
      </c>
      <c r="G114" s="640">
        <f t="shared" si="6"/>
        <v>33100</v>
      </c>
    </row>
    <row r="115" spans="1:7" s="441" customFormat="1" ht="12" customHeight="1">
      <c r="A115" s="411" t="s">
        <v>512</v>
      </c>
      <c r="B115" s="697" t="s">
        <v>322</v>
      </c>
      <c r="C115" s="695" t="s">
        <v>610</v>
      </c>
      <c r="D115" s="592">
        <v>0</v>
      </c>
      <c r="E115" s="592">
        <v>4000</v>
      </c>
      <c r="F115" s="592">
        <v>0</v>
      </c>
      <c r="G115" s="640">
        <f t="shared" si="6"/>
        <v>4000</v>
      </c>
    </row>
    <row r="116" spans="1:7" s="441" customFormat="1" ht="24" customHeight="1">
      <c r="A116" s="411" t="s">
        <v>513</v>
      </c>
      <c r="B116" s="697" t="s">
        <v>605</v>
      </c>
      <c r="C116" s="695" t="s">
        <v>604</v>
      </c>
      <c r="D116" s="592">
        <v>0</v>
      </c>
      <c r="E116" s="592">
        <v>22540</v>
      </c>
      <c r="F116" s="592">
        <v>0</v>
      </c>
      <c r="G116" s="640">
        <f t="shared" si="6"/>
        <v>22540</v>
      </c>
    </row>
    <row r="117" spans="1:7" s="407" customFormat="1" ht="12.75" customHeight="1">
      <c r="A117" s="364"/>
      <c r="B117" s="587" t="s">
        <v>47</v>
      </c>
      <c r="C117" s="699"/>
      <c r="D117" s="574">
        <f>SUM(D98:D116)</f>
        <v>116231</v>
      </c>
      <c r="E117" s="574">
        <f>SUM(E98:E116)</f>
        <v>643734</v>
      </c>
      <c r="F117" s="574">
        <f>SUM(F98:F116)</f>
        <v>-26418</v>
      </c>
      <c r="G117" s="642">
        <f t="shared" si="6"/>
        <v>617316</v>
      </c>
    </row>
    <row r="118" spans="1:7" s="441" customFormat="1" ht="12" customHeight="1">
      <c r="A118" s="411"/>
      <c r="B118" s="698" t="s">
        <v>479</v>
      </c>
      <c r="C118" s="695"/>
      <c r="D118" s="592"/>
      <c r="E118" s="592"/>
      <c r="F118" s="592"/>
      <c r="G118" s="640"/>
    </row>
    <row r="119" spans="1:7" s="441" customFormat="1" ht="12" customHeight="1">
      <c r="A119" s="411"/>
      <c r="B119" s="698" t="s">
        <v>246</v>
      </c>
      <c r="C119" s="695"/>
      <c r="D119" s="592"/>
      <c r="E119" s="592"/>
      <c r="F119" s="592"/>
      <c r="G119" s="640"/>
    </row>
    <row r="120" spans="1:7" s="441" customFormat="1" ht="12" customHeight="1">
      <c r="A120" s="411" t="s">
        <v>514</v>
      </c>
      <c r="B120" s="697" t="s">
        <v>633</v>
      </c>
      <c r="C120" s="695" t="s">
        <v>632</v>
      </c>
      <c r="D120" s="592">
        <v>0</v>
      </c>
      <c r="E120" s="592">
        <v>6600</v>
      </c>
      <c r="F120" s="592">
        <v>0</v>
      </c>
      <c r="G120" s="640">
        <f>SUM(E120:F120)</f>
        <v>6600</v>
      </c>
    </row>
    <row r="121" spans="1:7" s="407" customFormat="1" ht="12" customHeight="1">
      <c r="A121" s="364"/>
      <c r="B121" s="587" t="s">
        <v>577</v>
      </c>
      <c r="C121" s="699"/>
      <c r="D121" s="574">
        <f>SUM(D120)</f>
        <v>0</v>
      </c>
      <c r="E121" s="574">
        <f>SUM(E120)</f>
        <v>6600</v>
      </c>
      <c r="F121" s="574">
        <f>SUM(F120)</f>
        <v>0</v>
      </c>
      <c r="G121" s="642">
        <f>SUM(E121:F121)</f>
        <v>6600</v>
      </c>
    </row>
    <row r="122" spans="1:7" s="407" customFormat="1" ht="12.75" customHeight="1">
      <c r="A122" s="364"/>
      <c r="B122" s="929" t="s">
        <v>476</v>
      </c>
      <c r="C122" s="930"/>
      <c r="D122" s="646">
        <f>SUM(D121,D117)</f>
        <v>116231</v>
      </c>
      <c r="E122" s="646">
        <f>SUM(E121,E117)</f>
        <v>650334</v>
      </c>
      <c r="F122" s="646">
        <f>SUM(F121,F117)</f>
        <v>-26418</v>
      </c>
      <c r="G122" s="642">
        <f>SUM(E122:F122)</f>
        <v>623916</v>
      </c>
    </row>
  </sheetData>
  <mergeCells count="12">
    <mergeCell ref="B74:C74"/>
    <mergeCell ref="B95:C95"/>
    <mergeCell ref="A1:G1"/>
    <mergeCell ref="A2:G2"/>
    <mergeCell ref="B96:C96"/>
    <mergeCell ref="B122:C122"/>
    <mergeCell ref="B7:C7"/>
    <mergeCell ref="B73:C73"/>
    <mergeCell ref="B36:C36"/>
    <mergeCell ref="B38:C38"/>
    <mergeCell ref="B72:C72"/>
    <mergeCell ref="B9:C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CE,Normál"2/b.számú melléklet</oddHeader>
    <oddFooter>&amp;L&amp;"Times New Roman CE,Normál"&amp;8&amp;F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selection activeCell="G6" sqref="G6"/>
    </sheetView>
  </sheetViews>
  <sheetFormatPr defaultColWidth="9.140625" defaultRowHeight="12.75"/>
  <cols>
    <col min="1" max="1" width="3.57421875" style="26" customWidth="1"/>
    <col min="2" max="2" width="24.7109375" style="26" customWidth="1"/>
    <col min="3" max="3" width="34.421875" style="26" customWidth="1"/>
    <col min="4" max="4" width="8.8515625" style="0" customWidth="1"/>
    <col min="5" max="5" width="10.8515625" style="0" customWidth="1"/>
    <col min="6" max="6" width="7.8515625" style="0" customWidth="1"/>
    <col min="7" max="7" width="10.8515625" style="635" customWidth="1"/>
  </cols>
  <sheetData>
    <row r="2" spans="1:7" ht="15" customHeight="1">
      <c r="A2" s="921" t="s">
        <v>273</v>
      </c>
      <c r="B2" s="921"/>
      <c r="C2" s="921"/>
      <c r="D2" s="921"/>
      <c r="E2" s="921"/>
      <c r="F2" s="921"/>
      <c r="G2" s="921"/>
    </row>
    <row r="3" spans="1:7" ht="15" customHeight="1">
      <c r="A3" s="921" t="s">
        <v>478</v>
      </c>
      <c r="B3" s="921"/>
      <c r="C3" s="921"/>
      <c r="D3" s="921"/>
      <c r="E3" s="921"/>
      <c r="F3" s="921"/>
      <c r="G3" s="921"/>
    </row>
    <row r="4" spans="1:3" ht="15" customHeight="1">
      <c r="A4" s="25"/>
      <c r="B4" s="25"/>
      <c r="C4" s="25"/>
    </row>
    <row r="5" spans="4:7" ht="12.75">
      <c r="D5" s="26"/>
      <c r="E5" s="26"/>
      <c r="F5" s="512"/>
      <c r="G5" s="621" t="s">
        <v>524</v>
      </c>
    </row>
    <row r="6" spans="1:7" s="333" customFormat="1" ht="39.75" customHeight="1">
      <c r="A6" s="440" t="s">
        <v>174</v>
      </c>
      <c r="B6" s="596" t="s">
        <v>482</v>
      </c>
      <c r="C6" s="563" t="s">
        <v>0</v>
      </c>
      <c r="D6" s="440" t="s">
        <v>50</v>
      </c>
      <c r="E6" s="622" t="s">
        <v>636</v>
      </c>
      <c r="F6" s="541" t="s">
        <v>541</v>
      </c>
      <c r="G6" s="622" t="s">
        <v>679</v>
      </c>
    </row>
    <row r="7" spans="1:7" s="333" customFormat="1" ht="9.75" customHeight="1">
      <c r="A7" s="334" t="s">
        <v>247</v>
      </c>
      <c r="B7" s="489" t="s">
        <v>248</v>
      </c>
      <c r="C7" s="564" t="s">
        <v>249</v>
      </c>
      <c r="D7" s="31" t="s">
        <v>249</v>
      </c>
      <c r="E7" s="31" t="s">
        <v>95</v>
      </c>
      <c r="F7" s="31" t="s">
        <v>96</v>
      </c>
      <c r="G7" s="31" t="s">
        <v>97</v>
      </c>
    </row>
    <row r="8" spans="1:7" s="441" customFormat="1" ht="12.75" customHeight="1">
      <c r="A8" s="364" t="s">
        <v>486</v>
      </c>
      <c r="B8" s="653" t="s">
        <v>128</v>
      </c>
      <c r="C8" s="563"/>
      <c r="D8" s="654"/>
      <c r="E8" s="654"/>
      <c r="F8" s="654"/>
      <c r="G8" s="641"/>
    </row>
    <row r="9" spans="1:7" s="407" customFormat="1" ht="12.75" customHeight="1">
      <c r="A9" s="364" t="s">
        <v>247</v>
      </c>
      <c r="B9" s="655" t="s">
        <v>505</v>
      </c>
      <c r="C9" s="379"/>
      <c r="D9" s="592"/>
      <c r="E9" s="592"/>
      <c r="F9" s="592"/>
      <c r="G9" s="639"/>
    </row>
    <row r="10" spans="1:7" s="441" customFormat="1" ht="12">
      <c r="A10" s="411"/>
      <c r="B10" s="597"/>
      <c r="C10" s="629" t="s">
        <v>228</v>
      </c>
      <c r="D10" s="592">
        <v>10000</v>
      </c>
      <c r="E10" s="592">
        <v>10000</v>
      </c>
      <c r="F10" s="592">
        <v>0</v>
      </c>
      <c r="G10" s="640">
        <f>SUM(E10:F10)</f>
        <v>10000</v>
      </c>
    </row>
    <row r="11" spans="1:7" s="441" customFormat="1" ht="12">
      <c r="A11" s="411"/>
      <c r="B11" s="598"/>
      <c r="C11" s="570" t="s">
        <v>480</v>
      </c>
      <c r="D11" s="592">
        <v>9000</v>
      </c>
      <c r="E11" s="592">
        <v>9000</v>
      </c>
      <c r="F11" s="592">
        <v>0</v>
      </c>
      <c r="G11" s="640">
        <f aca="true" t="shared" si="0" ref="G11:G16">SUM(E11:F11)</f>
        <v>9000</v>
      </c>
    </row>
    <row r="12" spans="1:7" s="441" customFormat="1" ht="12">
      <c r="A12" s="411"/>
      <c r="B12" s="598"/>
      <c r="C12" s="570" t="s">
        <v>33</v>
      </c>
      <c r="D12" s="592">
        <v>36200</v>
      </c>
      <c r="E12" s="592">
        <v>36200</v>
      </c>
      <c r="F12" s="592">
        <v>0</v>
      </c>
      <c r="G12" s="640">
        <f t="shared" si="0"/>
        <v>36200</v>
      </c>
    </row>
    <row r="13" spans="1:7" s="441" customFormat="1" ht="12">
      <c r="A13" s="411"/>
      <c r="B13" s="597"/>
      <c r="C13" s="570" t="s">
        <v>450</v>
      </c>
      <c r="D13" s="592">
        <v>34000</v>
      </c>
      <c r="E13" s="592">
        <v>34000</v>
      </c>
      <c r="F13" s="592">
        <v>0</v>
      </c>
      <c r="G13" s="640">
        <f t="shared" si="0"/>
        <v>34000</v>
      </c>
    </row>
    <row r="14" spans="1:7" s="441" customFormat="1" ht="12">
      <c r="A14" s="411"/>
      <c r="B14" s="597"/>
      <c r="C14" s="570" t="s">
        <v>353</v>
      </c>
      <c r="D14" s="592">
        <v>50000</v>
      </c>
      <c r="E14" s="592">
        <v>50000</v>
      </c>
      <c r="F14" s="592">
        <v>0</v>
      </c>
      <c r="G14" s="640">
        <f t="shared" si="0"/>
        <v>50000</v>
      </c>
    </row>
    <row r="15" spans="1:7" s="407" customFormat="1" ht="12">
      <c r="A15" s="411"/>
      <c r="B15" s="599"/>
      <c r="C15" s="570" t="s">
        <v>13</v>
      </c>
      <c r="D15" s="592">
        <v>30000</v>
      </c>
      <c r="E15" s="592">
        <v>30000</v>
      </c>
      <c r="F15" s="592">
        <v>0</v>
      </c>
      <c r="G15" s="640">
        <f t="shared" si="0"/>
        <v>30000</v>
      </c>
    </row>
    <row r="16" spans="1:7" s="407" customFormat="1" ht="12">
      <c r="A16" s="411"/>
      <c r="B16" s="599"/>
      <c r="C16" s="629" t="s">
        <v>45</v>
      </c>
      <c r="D16" s="592">
        <v>25000</v>
      </c>
      <c r="E16" s="592">
        <v>25000</v>
      </c>
      <c r="F16" s="592">
        <v>0</v>
      </c>
      <c r="G16" s="640">
        <f t="shared" si="0"/>
        <v>25000</v>
      </c>
    </row>
    <row r="17" spans="1:7" s="407" customFormat="1" ht="24">
      <c r="A17" s="411"/>
      <c r="B17" s="599"/>
      <c r="C17" s="438" t="s">
        <v>539</v>
      </c>
      <c r="D17" s="592">
        <v>6000</v>
      </c>
      <c r="E17" s="592">
        <v>6000</v>
      </c>
      <c r="F17" s="592">
        <v>0</v>
      </c>
      <c r="G17" s="640">
        <f>SUM(E17:F17)</f>
        <v>6000</v>
      </c>
    </row>
    <row r="18" spans="1:7" s="407" customFormat="1" ht="12">
      <c r="A18" s="364"/>
      <c r="B18" s="655" t="s">
        <v>15</v>
      </c>
      <c r="C18" s="569"/>
      <c r="D18" s="574">
        <f>SUM(D10:D17)</f>
        <v>200200</v>
      </c>
      <c r="E18" s="574">
        <f>SUM(E10:E17)</f>
        <v>200200</v>
      </c>
      <c r="F18" s="574">
        <f>SUM(F10:F17)</f>
        <v>0</v>
      </c>
      <c r="G18" s="642">
        <f>SUM(E18:F18)</f>
        <v>200200</v>
      </c>
    </row>
    <row r="19" spans="1:7" s="441" customFormat="1" ht="12">
      <c r="A19" s="364" t="s">
        <v>248</v>
      </c>
      <c r="B19" s="656" t="s">
        <v>506</v>
      </c>
      <c r="C19" s="600"/>
      <c r="D19" s="592"/>
      <c r="E19" s="592"/>
      <c r="F19" s="592"/>
      <c r="G19" s="640"/>
    </row>
    <row r="20" spans="1:7" s="441" customFormat="1" ht="12">
      <c r="A20" s="411"/>
      <c r="B20" s="657"/>
      <c r="C20" s="570" t="s">
        <v>44</v>
      </c>
      <c r="D20" s="601">
        <v>9000</v>
      </c>
      <c r="E20" s="601">
        <v>9000</v>
      </c>
      <c r="F20" s="601">
        <v>3985</v>
      </c>
      <c r="G20" s="640">
        <f>SUM(E20:F20)</f>
        <v>12985</v>
      </c>
    </row>
    <row r="21" spans="1:7" s="441" customFormat="1" ht="12">
      <c r="A21" s="411"/>
      <c r="B21" s="657"/>
      <c r="C21" s="570" t="s">
        <v>483</v>
      </c>
      <c r="D21" s="601">
        <v>42000</v>
      </c>
      <c r="E21" s="601">
        <v>42000</v>
      </c>
      <c r="F21" s="601">
        <v>576</v>
      </c>
      <c r="G21" s="640">
        <f>SUM(E21:F21)</f>
        <v>42576</v>
      </c>
    </row>
    <row r="22" spans="1:7" s="407" customFormat="1" ht="12">
      <c r="A22" s="364"/>
      <c r="B22" s="656" t="s">
        <v>14</v>
      </c>
      <c r="C22" s="630"/>
      <c r="D22" s="574">
        <f>SUM(D20:D21)</f>
        <v>51000</v>
      </c>
      <c r="E22" s="574">
        <f>SUM(E20:E21)</f>
        <v>51000</v>
      </c>
      <c r="F22" s="574">
        <f>SUM(F20:F21)</f>
        <v>4561</v>
      </c>
      <c r="G22" s="642">
        <f>SUM(E22:F22)</f>
        <v>55561</v>
      </c>
    </row>
    <row r="23" spans="1:7" s="407" customFormat="1" ht="12">
      <c r="A23" s="364" t="s">
        <v>249</v>
      </c>
      <c r="B23" s="656" t="s">
        <v>508</v>
      </c>
      <c r="C23" s="630"/>
      <c r="D23" s="592"/>
      <c r="E23" s="592"/>
      <c r="F23" s="592"/>
      <c r="G23" s="640"/>
    </row>
    <row r="24" spans="1:7" s="441" customFormat="1" ht="12">
      <c r="A24" s="411"/>
      <c r="B24" s="657"/>
      <c r="C24" s="570" t="s">
        <v>220</v>
      </c>
      <c r="D24" s="592">
        <v>80000</v>
      </c>
      <c r="E24" s="592">
        <v>80000</v>
      </c>
      <c r="F24" s="592">
        <v>-6650</v>
      </c>
      <c r="G24" s="640">
        <f>SUM(D24:F24)</f>
        <v>153350</v>
      </c>
    </row>
    <row r="25" spans="1:7" s="441" customFormat="1" ht="12">
      <c r="A25" s="411"/>
      <c r="B25" s="657"/>
      <c r="C25" s="570" t="s">
        <v>582</v>
      </c>
      <c r="D25" s="592">
        <v>0</v>
      </c>
      <c r="E25" s="592">
        <v>1050</v>
      </c>
      <c r="F25" s="592">
        <v>3343</v>
      </c>
      <c r="G25" s="640">
        <f>SUM(D25:F25)</f>
        <v>4393</v>
      </c>
    </row>
    <row r="26" spans="1:7" s="441" customFormat="1" ht="12">
      <c r="A26" s="411"/>
      <c r="B26" s="657"/>
      <c r="C26" s="570" t="s">
        <v>107</v>
      </c>
      <c r="D26" s="592"/>
      <c r="E26" s="592"/>
      <c r="F26" s="592"/>
      <c r="G26" s="640"/>
    </row>
    <row r="27" spans="1:7" s="441" customFormat="1" ht="12">
      <c r="A27" s="411"/>
      <c r="B27" s="657"/>
      <c r="C27" s="600" t="s">
        <v>224</v>
      </c>
      <c r="D27" s="592">
        <v>3000</v>
      </c>
      <c r="E27" s="592">
        <v>3000</v>
      </c>
      <c r="F27" s="592">
        <v>0</v>
      </c>
      <c r="G27" s="640">
        <f aca="true" t="shared" si="1" ref="G27:G32">SUM(E27:F27)</f>
        <v>3000</v>
      </c>
    </row>
    <row r="28" spans="1:7" s="441" customFormat="1" ht="12">
      <c r="A28" s="411"/>
      <c r="B28" s="657"/>
      <c r="C28" s="634" t="s">
        <v>81</v>
      </c>
      <c r="D28" s="592">
        <v>38200</v>
      </c>
      <c r="E28" s="592">
        <v>38200</v>
      </c>
      <c r="F28" s="592">
        <v>0</v>
      </c>
      <c r="G28" s="640">
        <f t="shared" si="1"/>
        <v>38200</v>
      </c>
    </row>
    <row r="29" spans="1:7" s="407" customFormat="1" ht="12">
      <c r="A29" s="585"/>
      <c r="B29" s="658"/>
      <c r="C29" s="634" t="s">
        <v>70</v>
      </c>
      <c r="D29" s="592">
        <v>67000</v>
      </c>
      <c r="E29" s="592">
        <v>68534</v>
      </c>
      <c r="F29" s="592">
        <v>966</v>
      </c>
      <c r="G29" s="640">
        <f t="shared" si="1"/>
        <v>69500</v>
      </c>
    </row>
    <row r="30" spans="1:7" s="407" customFormat="1" ht="12">
      <c r="A30" s="364"/>
      <c r="B30" s="656"/>
      <c r="C30" s="629" t="s">
        <v>83</v>
      </c>
      <c r="D30" s="592">
        <v>10000</v>
      </c>
      <c r="E30" s="592">
        <v>10000</v>
      </c>
      <c r="F30" s="592">
        <v>0</v>
      </c>
      <c r="G30" s="640">
        <f t="shared" si="1"/>
        <v>10000</v>
      </c>
    </row>
    <row r="31" spans="1:7" s="407" customFormat="1" ht="12">
      <c r="A31" s="364"/>
      <c r="B31" s="656"/>
      <c r="C31" s="629" t="s">
        <v>18</v>
      </c>
      <c r="D31" s="592">
        <v>4095</v>
      </c>
      <c r="E31" s="592">
        <v>4095</v>
      </c>
      <c r="F31" s="592">
        <v>0</v>
      </c>
      <c r="G31" s="640">
        <f t="shared" si="1"/>
        <v>4095</v>
      </c>
    </row>
    <row r="32" spans="1:7" s="407" customFormat="1" ht="12">
      <c r="A32" s="364"/>
      <c r="B32" s="656" t="s">
        <v>16</v>
      </c>
      <c r="C32" s="659"/>
      <c r="D32" s="574">
        <f>SUM(D24:D31)</f>
        <v>202295</v>
      </c>
      <c r="E32" s="574">
        <f>SUM(E24:E31)</f>
        <v>204879</v>
      </c>
      <c r="F32" s="574">
        <f>SUM(F24:F31)</f>
        <v>-2341</v>
      </c>
      <c r="G32" s="642">
        <f t="shared" si="1"/>
        <v>202538</v>
      </c>
    </row>
    <row r="33" spans="1:7" s="407" customFormat="1" ht="12">
      <c r="A33" s="364" t="s">
        <v>95</v>
      </c>
      <c r="B33" s="656" t="s">
        <v>17</v>
      </c>
      <c r="C33" s="659"/>
      <c r="D33" s="592"/>
      <c r="E33" s="592"/>
      <c r="F33" s="592"/>
      <c r="G33" s="640"/>
    </row>
    <row r="34" spans="1:7" s="407" customFormat="1" ht="12">
      <c r="A34" s="364"/>
      <c r="B34" s="656"/>
      <c r="C34" s="629" t="s">
        <v>221</v>
      </c>
      <c r="D34" s="592">
        <v>63000</v>
      </c>
      <c r="E34" s="592">
        <v>63000</v>
      </c>
      <c r="F34" s="592">
        <v>11000</v>
      </c>
      <c r="G34" s="640">
        <f>SUM(E34:F34)</f>
        <v>74000</v>
      </c>
    </row>
    <row r="35" spans="1:7" s="407" customFormat="1" ht="12">
      <c r="A35" s="364"/>
      <c r="B35" s="656"/>
      <c r="C35" s="629" t="s">
        <v>481</v>
      </c>
      <c r="D35" s="592">
        <v>27000</v>
      </c>
      <c r="E35" s="592">
        <v>27000</v>
      </c>
      <c r="F35" s="592">
        <v>0</v>
      </c>
      <c r="G35" s="640">
        <f>SUM(E35:F35)</f>
        <v>27000</v>
      </c>
    </row>
    <row r="36" spans="1:7" s="407" customFormat="1" ht="12">
      <c r="A36" s="364"/>
      <c r="B36" s="656" t="s">
        <v>82</v>
      </c>
      <c r="C36" s="659"/>
      <c r="D36" s="574">
        <f>SUM(D34:D35)</f>
        <v>90000</v>
      </c>
      <c r="E36" s="574">
        <f>SUM(E34:E35)</f>
        <v>90000</v>
      </c>
      <c r="F36" s="574">
        <f>SUM(F34:F35)</f>
        <v>11000</v>
      </c>
      <c r="G36" s="642">
        <f>SUM(E36:F36)</f>
        <v>101000</v>
      </c>
    </row>
    <row r="37" spans="1:7" s="407" customFormat="1" ht="12">
      <c r="A37" s="364" t="s">
        <v>96</v>
      </c>
      <c r="B37" s="656" t="s">
        <v>422</v>
      </c>
      <c r="C37" s="659"/>
      <c r="D37" s="592"/>
      <c r="E37" s="592"/>
      <c r="F37" s="592"/>
      <c r="G37" s="640"/>
    </row>
    <row r="38" spans="1:7" s="441" customFormat="1" ht="27.75" customHeight="1">
      <c r="A38" s="411"/>
      <c r="B38" s="629"/>
      <c r="C38" s="438" t="s">
        <v>334</v>
      </c>
      <c r="D38" s="592">
        <v>1000</v>
      </c>
      <c r="E38" s="592">
        <v>1000</v>
      </c>
      <c r="F38" s="592">
        <v>0</v>
      </c>
      <c r="G38" s="640">
        <f>SUM(E38:F38)</f>
        <v>1000</v>
      </c>
    </row>
    <row r="39" spans="1:7" s="441" customFormat="1" ht="27.75" customHeight="1">
      <c r="A39" s="411"/>
      <c r="B39" s="629"/>
      <c r="C39" s="438" t="s">
        <v>538</v>
      </c>
      <c r="D39" s="592">
        <v>2000</v>
      </c>
      <c r="E39" s="592">
        <v>2000</v>
      </c>
      <c r="F39" s="592">
        <v>0</v>
      </c>
      <c r="G39" s="640">
        <f>SUM(E39:F39)</f>
        <v>2000</v>
      </c>
    </row>
    <row r="40" spans="1:7" s="441" customFormat="1" ht="39" customHeight="1">
      <c r="A40" s="411"/>
      <c r="B40" s="657"/>
      <c r="C40" s="438" t="s">
        <v>288</v>
      </c>
      <c r="D40" s="592">
        <v>20000</v>
      </c>
      <c r="E40" s="592">
        <v>20000</v>
      </c>
      <c r="F40" s="592">
        <v>-20000</v>
      </c>
      <c r="G40" s="640">
        <f>SUM(E40:F40)</f>
        <v>0</v>
      </c>
    </row>
    <row r="41" spans="1:7" s="407" customFormat="1" ht="12">
      <c r="A41" s="364"/>
      <c r="B41" s="656" t="s">
        <v>518</v>
      </c>
      <c r="C41" s="405"/>
      <c r="D41" s="574">
        <f>SUM(D38:D40)</f>
        <v>23000</v>
      </c>
      <c r="E41" s="574">
        <f>SUM(E38:E40)</f>
        <v>23000</v>
      </c>
      <c r="F41" s="574">
        <f>SUM(F38:F40)</f>
        <v>-20000</v>
      </c>
      <c r="G41" s="642">
        <f>SUM(E41:F41)</f>
        <v>3000</v>
      </c>
    </row>
    <row r="42" spans="1:7" s="407" customFormat="1" ht="12">
      <c r="A42" s="364" t="s">
        <v>97</v>
      </c>
      <c r="B42" s="656" t="s">
        <v>57</v>
      </c>
      <c r="C42" s="405"/>
      <c r="D42" s="574"/>
      <c r="E42" s="574"/>
      <c r="F42" s="574"/>
      <c r="G42" s="640"/>
    </row>
    <row r="43" spans="1:7" s="441" customFormat="1" ht="12">
      <c r="A43" s="411"/>
      <c r="B43" s="657"/>
      <c r="C43" s="438" t="s">
        <v>544</v>
      </c>
      <c r="D43" s="592">
        <v>0</v>
      </c>
      <c r="E43" s="592">
        <v>81</v>
      </c>
      <c r="F43" s="592">
        <v>114</v>
      </c>
      <c r="G43" s="640">
        <f>SUM(E43:F43)</f>
        <v>195</v>
      </c>
    </row>
    <row r="44" spans="1:7" s="407" customFormat="1" ht="12">
      <c r="A44" s="364"/>
      <c r="B44" s="656" t="s">
        <v>354</v>
      </c>
      <c r="C44" s="405"/>
      <c r="D44" s="574">
        <f>SUM(D43)</f>
        <v>0</v>
      </c>
      <c r="E44" s="574">
        <f>SUM(E43)</f>
        <v>81</v>
      </c>
      <c r="F44" s="574">
        <f>SUM(F43)</f>
        <v>114</v>
      </c>
      <c r="G44" s="642">
        <f>SUM(E44:F44)</f>
        <v>195</v>
      </c>
    </row>
    <row r="45" spans="1:7" s="407" customFormat="1" ht="12">
      <c r="A45" s="364" t="s">
        <v>397</v>
      </c>
      <c r="B45" s="656" t="s">
        <v>479</v>
      </c>
      <c r="C45" s="405"/>
      <c r="D45" s="574"/>
      <c r="E45" s="574"/>
      <c r="F45" s="574"/>
      <c r="G45" s="640"/>
    </row>
    <row r="46" spans="1:7" s="407" customFormat="1" ht="12">
      <c r="A46" s="364" t="s">
        <v>247</v>
      </c>
      <c r="B46" s="656" t="s">
        <v>63</v>
      </c>
      <c r="C46" s="405"/>
      <c r="D46" s="574"/>
      <c r="E46" s="574"/>
      <c r="F46" s="574"/>
      <c r="G46" s="640"/>
    </row>
    <row r="47" spans="1:7" s="441" customFormat="1" ht="12">
      <c r="A47" s="411"/>
      <c r="B47" s="657"/>
      <c r="C47" s="438" t="s">
        <v>583</v>
      </c>
      <c r="D47" s="592">
        <v>0</v>
      </c>
      <c r="E47" s="592">
        <v>262</v>
      </c>
      <c r="F47" s="592">
        <v>0</v>
      </c>
      <c r="G47" s="640">
        <f>SUM(E47:F47)</f>
        <v>262</v>
      </c>
    </row>
    <row r="48" spans="1:7" s="441" customFormat="1" ht="12">
      <c r="A48" s="411"/>
      <c r="B48" s="657"/>
      <c r="C48" s="438" t="s">
        <v>589</v>
      </c>
      <c r="D48" s="592">
        <v>0</v>
      </c>
      <c r="E48" s="592">
        <v>200</v>
      </c>
      <c r="F48" s="592">
        <v>0</v>
      </c>
      <c r="G48" s="640">
        <f>SUM(E48:F48)</f>
        <v>200</v>
      </c>
    </row>
    <row r="49" spans="1:7" s="407" customFormat="1" ht="12">
      <c r="A49" s="364"/>
      <c r="B49" s="656" t="s">
        <v>584</v>
      </c>
      <c r="C49" s="405"/>
      <c r="D49" s="574">
        <f>SUM(D47:D48)</f>
        <v>0</v>
      </c>
      <c r="E49" s="574">
        <f>SUM(E47:E48)</f>
        <v>462</v>
      </c>
      <c r="F49" s="574">
        <f>SUM(F47:F48)</f>
        <v>0</v>
      </c>
      <c r="G49" s="642">
        <f>SUM(E49:F49)</f>
        <v>462</v>
      </c>
    </row>
    <row r="50" spans="1:7" s="407" customFormat="1" ht="12">
      <c r="A50" s="364"/>
      <c r="B50" s="656" t="s">
        <v>222</v>
      </c>
      <c r="C50" s="584"/>
      <c r="D50" s="593">
        <f>SUM(D18,D22,D32,D36,D41,D44,D49)</f>
        <v>566495</v>
      </c>
      <c r="E50" s="593">
        <f>SUM(E18,E22,E32,E36,E41,E44,E49)</f>
        <v>569622</v>
      </c>
      <c r="F50" s="593">
        <f>SUM(F18,F22,F32,F36,F41,F44,F49)</f>
        <v>-6666</v>
      </c>
      <c r="G50" s="642">
        <f>SUM(E50:F50)</f>
        <v>562956</v>
      </c>
    </row>
  </sheetData>
  <mergeCells count="2"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CE,Normál"2/c.számú melléklet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1:F51"/>
  <sheetViews>
    <sheetView workbookViewId="0" topLeftCell="A28">
      <selection activeCell="F35" sqref="F35"/>
    </sheetView>
  </sheetViews>
  <sheetFormatPr defaultColWidth="9.140625" defaultRowHeight="12.75"/>
  <cols>
    <col min="1" max="1" width="4.57421875" style="8" customWidth="1"/>
    <col min="2" max="2" width="38.421875" style="10" customWidth="1"/>
    <col min="3" max="3" width="10.57421875" style="9" customWidth="1"/>
    <col min="4" max="4" width="11.8515625" style="9" customWidth="1"/>
    <col min="5" max="5" width="10.421875" style="9" customWidth="1"/>
    <col min="6" max="6" width="11.8515625" style="3" customWidth="1"/>
    <col min="7" max="16384" width="8.8515625" style="3" customWidth="1"/>
  </cols>
  <sheetData>
    <row r="1" spans="1:6" ht="18" customHeight="1">
      <c r="A1" s="933" t="s">
        <v>130</v>
      </c>
      <c r="B1" s="934"/>
      <c r="C1" s="934"/>
      <c r="D1" s="934"/>
      <c r="E1" s="934"/>
      <c r="F1" s="934"/>
    </row>
    <row r="2" spans="1:6" ht="18" customHeight="1">
      <c r="A2" s="935" t="s">
        <v>600</v>
      </c>
      <c r="B2" s="936"/>
      <c r="C2" s="936"/>
      <c r="D2" s="936"/>
      <c r="E2" s="936"/>
      <c r="F2" s="936"/>
    </row>
    <row r="3" spans="1:6" ht="18" customHeight="1">
      <c r="A3" s="937" t="s">
        <v>123</v>
      </c>
      <c r="B3" s="937"/>
      <c r="C3" s="937"/>
      <c r="D3" s="937"/>
      <c r="E3" s="937"/>
      <c r="F3" s="937"/>
    </row>
    <row r="4" spans="1:6" ht="18" customHeight="1">
      <c r="A4" s="938" t="s">
        <v>8</v>
      </c>
      <c r="B4" s="936"/>
      <c r="C4" s="936"/>
      <c r="D4" s="936"/>
      <c r="E4" s="936"/>
      <c r="F4" s="936"/>
    </row>
    <row r="5" spans="2:6" ht="15.75" customHeight="1">
      <c r="B5" s="4"/>
      <c r="C5" s="26"/>
      <c r="D5" s="26"/>
      <c r="E5" s="512"/>
      <c r="F5" s="621" t="s">
        <v>524</v>
      </c>
    </row>
    <row r="6" spans="1:6" s="4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27" t="s">
        <v>105</v>
      </c>
      <c r="C8" s="709">
        <f>SUM('3a.számú melléklet'!C8+'3b.számú melléklet'!C8+'3c.számú melléklet'!C8+'3d.számú melléklet'!C8+'3e.számú melléklet'!C8+'3f.számú melléklet'!C8+'3g.számú melléklet'!C8+'3h.számú melléklet'!C8)</f>
        <v>2300.5</v>
      </c>
      <c r="D8" s="709">
        <f>SUM('3a.számú melléklet'!D8+'3b.számú melléklet'!D8+'3c.számú melléklet'!D8+'3d.számú melléklet'!D8+'3e.számú melléklet'!D8+'3f.számú melléklet'!D8+'3g.számú melléklet'!D8+'3h.számú melléklet'!D8)</f>
        <v>2300.5</v>
      </c>
      <c r="E8" s="709">
        <f>SUM('3a.számú melléklet'!E8+'3b.számú melléklet'!E8+'3c.számú melléklet'!E8+'3d.számú melléklet'!E8+'3e.számú melléklet'!E8+'3f.számú melléklet'!E8+'3g.számú melléklet'!E8+'3h.számú melléklet'!E8)</f>
        <v>-10</v>
      </c>
      <c r="F8" s="709">
        <f>SUM('3a.számú melléklet'!F8+'3b.számú melléklet'!F8+'3c.számú melléklet'!F8+'3d.számú melléklet'!F8+'3e.számú melléklet'!F8+'3f.számú melléklet'!F8+'3g.számú melléklet'!F8+'3h.számú melléklet'!F8)</f>
        <v>2290.5</v>
      </c>
    </row>
    <row r="9" spans="1:6" s="33" customFormat="1" ht="12" customHeight="1">
      <c r="A9" s="159"/>
      <c r="B9" s="54" t="s">
        <v>59</v>
      </c>
      <c r="C9" s="28"/>
      <c r="D9" s="28"/>
      <c r="E9" s="28"/>
      <c r="F9" s="28"/>
    </row>
    <row r="10" spans="1:6" s="7" customFormat="1" ht="12" customHeight="1">
      <c r="A10" s="187" t="s">
        <v>247</v>
      </c>
      <c r="B10" s="448" t="s">
        <v>60</v>
      </c>
      <c r="C10" s="503">
        <f>SUM('3a.számú melléklet'!C10+'3b.számú melléklet'!C10+'3c.számú melléklet'!C10+'3d.számú melléklet'!C10+'3e.számú melléklet'!C10+'3f.számú melléklet'!C10+'3g.számú melléklet'!C10+'3h.számú melléklet'!C10)</f>
        <v>5138229</v>
      </c>
      <c r="D10" s="503">
        <f>SUM('3a.számú melléklet'!D10+'3b.számú melléklet'!D10+'3c.számú melléklet'!D10+'3d.számú melléklet'!D10+'3e.számú melléklet'!D10+'3f.számú melléklet'!D10+'3g.számú melléklet'!D10+'3h.számú melléklet'!D10)</f>
        <v>5462541</v>
      </c>
      <c r="E10" s="503">
        <f>SUM('3a.számú melléklet'!E10+'3b.számú melléklet'!E10+'3c.számú melléklet'!E10+'3d.számú melléklet'!E10+'3e.számú melléklet'!E10+'3f.számú melléklet'!E10+'3g.számú melléklet'!E10+'3h.számú melléklet'!E10)</f>
        <v>10781</v>
      </c>
      <c r="F10" s="503">
        <f>SUM('3a.számú melléklet'!F10+'3b.számú melléklet'!F10+'3c.számú melléklet'!F10+'3d.számú melléklet'!F10+'3e.számú melléklet'!F10+'3f.számú melléklet'!F10+'3g.számú melléklet'!F10+'3h.számú melléklet'!F10)</f>
        <v>5473322</v>
      </c>
    </row>
    <row r="11" spans="1:6" s="7" customFormat="1" ht="12" customHeight="1">
      <c r="A11" s="187" t="s">
        <v>248</v>
      </c>
      <c r="B11" s="449" t="s">
        <v>61</v>
      </c>
      <c r="C11" s="503">
        <f>SUM('3a.számú melléklet'!C11+'3b.számú melléklet'!C11+'3c.számú melléklet'!C11+'3d.számú melléklet'!C11+'3e.számú melléklet'!C11+'3f.számú melléklet'!C11+'3g.számú melléklet'!C11+'3h.számú melléklet'!C11)</f>
        <v>1641238</v>
      </c>
      <c r="D11" s="503">
        <f>SUM('3a.számú melléklet'!D11+'3b.számú melléklet'!D11+'3c.számú melléklet'!D11+'3d.számú melléklet'!D11+'3e.számú melléklet'!D11+'3f.számú melléklet'!D11+'3g.számú melléklet'!D11+'3h.számú melléklet'!D11)</f>
        <v>1738657</v>
      </c>
      <c r="E11" s="503">
        <f>SUM('3a.számú melléklet'!E11+'3b.számú melléklet'!E11+'3c.számú melléklet'!E11+'3d.számú melléklet'!E11+'3e.számú melléklet'!E11+'3f.számú melléklet'!E11+'3g.számú melléklet'!E11+'3h.számú melléklet'!E11)</f>
        <v>3705</v>
      </c>
      <c r="F11" s="503">
        <f>SUM('3a.számú melléklet'!F11+'3b.számú melléklet'!F11+'3c.számú melléklet'!F11+'3d.számú melléklet'!F11+'3e.számú melléklet'!F11+'3f.számú melléklet'!F11+'3g.számú melléklet'!F11+'3h.számú melléklet'!F11)</f>
        <v>1742362</v>
      </c>
    </row>
    <row r="12" spans="1:6" s="7" customFormat="1" ht="12" customHeight="1">
      <c r="A12" s="187"/>
      <c r="B12" s="445" t="s">
        <v>375</v>
      </c>
      <c r="C12" s="503">
        <f>SUM('3a.számú melléklet'!C12+'3b.számú melléklet'!C12+'3c.számú melléklet'!C12+'3d.számú melléklet'!C12+'3e.számú melléklet'!C12+'3f.számú melléklet'!C12+'3g.számú melléklet'!C12+'3h.számú melléklet'!C12)</f>
        <v>1432448</v>
      </c>
      <c r="D12" s="503">
        <f>SUM('3a.számú melléklet'!D12+'3b.számú melléklet'!D12+'3c.számú melléklet'!D12+'3d.számú melléklet'!D12+'3e.számú melléklet'!D12+'3f.számú melléklet'!D12+'3g.számú melléklet'!D12+'3h.számú melléklet'!D12)</f>
        <v>1521063</v>
      </c>
      <c r="E12" s="503">
        <f>SUM('3a.számú melléklet'!E12+'3b.számú melléklet'!E12+'3c.számú melléklet'!E12+'3d.számú melléklet'!E12+'3e.számú melléklet'!E12+'3f.számú melléklet'!E12+'3g.számú melléklet'!E12+'3h.számú melléklet'!E12)</f>
        <v>3329</v>
      </c>
      <c r="F12" s="503">
        <f>SUM('3a.számú melléklet'!F12+'3b.számú melléklet'!F12+'3c.számú melléklet'!F12+'3d.számú melléklet'!F12+'3e.számú melléklet'!F12+'3f.számú melléklet'!F12+'3g.számú melléklet'!F12+'3h.számú melléklet'!F12)</f>
        <v>1524392</v>
      </c>
    </row>
    <row r="13" spans="1:6" s="7" customFormat="1" ht="12" customHeight="1">
      <c r="A13" s="187"/>
      <c r="B13" s="445" t="s">
        <v>212</v>
      </c>
      <c r="C13" s="503">
        <f>SUM('3a.számú melléklet'!C13+'3b.számú melléklet'!C13+'3c.számú melléklet'!C13+'3d.számú melléklet'!C13+'3e.számú melléklet'!C13+'3f.számú melléklet'!C13+'3g.számú melléklet'!C13+'3h.számú melléklet'!C13)</f>
        <v>146034</v>
      </c>
      <c r="D13" s="503">
        <f>SUM('3a.számú melléklet'!D13+'3b.számú melléklet'!D13+'3c.számú melléklet'!D13+'3d.számú melléklet'!D13+'3e.számú melléklet'!D13+'3f.számú melléklet'!D13+'3g.számú melléklet'!D13+'3h.számú melléklet'!D13)</f>
        <v>154767</v>
      </c>
      <c r="E13" s="503">
        <f>SUM('3a.számú melléklet'!E13+'3b.számú melléklet'!E13+'3c.számú melléklet'!E13+'3d.számú melléklet'!E13+'3e.számú melléklet'!E13+'3f.számú melléklet'!E13+'3g.számú melléklet'!E13+'3h.számú melléklet'!E13)</f>
        <v>376</v>
      </c>
      <c r="F13" s="503">
        <f>SUM('3a.számú melléklet'!F13+'3b.számú melléklet'!F13+'3c.számú melléklet'!F13+'3d.számú melléklet'!F13+'3e.számú melléklet'!F13+'3f.számú melléklet'!F13+'3g.számú melléklet'!F13+'3h.számú melléklet'!F13)</f>
        <v>155143</v>
      </c>
    </row>
    <row r="14" spans="1:6" s="7" customFormat="1" ht="12" customHeight="1">
      <c r="A14" s="187"/>
      <c r="B14" s="445" t="s">
        <v>213</v>
      </c>
      <c r="C14" s="503">
        <f>SUM('3a.számú melléklet'!C14+'3b.számú melléklet'!C14+'3c.számú melléklet'!C14+'3d.számú melléklet'!C14+'3e.számú melléklet'!C14+'3f.számú melléklet'!C14+'3g.számú melléklet'!C14+'3h.számú melléklet'!C14)</f>
        <v>49624</v>
      </c>
      <c r="D14" s="503">
        <f>SUM('3a.számú melléklet'!D14+'3b.számú melléklet'!D14+'3c.számú melléklet'!D14+'3d.számú melléklet'!D14+'3e.számú melléklet'!D14+'3f.számú melléklet'!D14+'3g.számú melléklet'!D14+'3h.számú melléklet'!D14)</f>
        <v>49695</v>
      </c>
      <c r="E14" s="503">
        <f>SUM('3a.számú melléklet'!E14+'3b.számú melléklet'!E14+'3c.számú melléklet'!E14+'3d.számú melléklet'!E14+'3e.számú melléklet'!E14+'3f.számú melléklet'!E14+'3g.számú melléklet'!E14+'3h.számú melléklet'!E14)</f>
        <v>0</v>
      </c>
      <c r="F14" s="503">
        <f>SUM('3a.számú melléklet'!F14+'3b.számú melléklet'!F14+'3c.számú melléklet'!F14+'3d.számú melléklet'!F14+'3e.számú melléklet'!F14+'3f.számú melléklet'!F14+'3g.számú melléklet'!F14+'3h.számú melléklet'!F14)</f>
        <v>49695</v>
      </c>
    </row>
    <row r="15" spans="1:6" s="7" customFormat="1" ht="12" customHeight="1">
      <c r="A15" s="187"/>
      <c r="B15" s="445" t="s">
        <v>374</v>
      </c>
      <c r="C15" s="503">
        <f>SUM('3a.számú melléklet'!C15+'3b.számú melléklet'!C15+'3c.számú melléklet'!C15+'3d.számú melléklet'!C15+'3e.számú melléklet'!C15+'3f.számú melléklet'!C15+'3g.számú melléklet'!C15+'3h.számú melléklet'!C15)</f>
        <v>13132</v>
      </c>
      <c r="D15" s="503">
        <f>SUM('3a.számú melléklet'!D15+'3b.számú melléklet'!D15+'3c.számú melléklet'!D15+'3d.számú melléklet'!D15+'3e.számú melléklet'!D15+'3f.számú melléklet'!D15+'3g.számú melléklet'!D15+'3h.számú melléklet'!D15)</f>
        <v>13132</v>
      </c>
      <c r="E15" s="503">
        <f>SUM('3a.számú melléklet'!E15+'3b.számú melléklet'!E15+'3c.számú melléklet'!E15+'3d.számú melléklet'!E15+'3e.számú melléklet'!E15+'3f.számú melléklet'!E15+'3g.számú melléklet'!E15+'3h.számú melléklet'!E15)</f>
        <v>0</v>
      </c>
      <c r="F15" s="503">
        <f>SUM('3a.számú melléklet'!F15+'3b.számú melléklet'!F15+'3c.számú melléklet'!F15+'3d.számú melléklet'!F15+'3e.számú melléklet'!F15+'3f.számú melléklet'!F15+'3g.számú melléklet'!F15+'3h.számú melléklet'!F15)</f>
        <v>13132</v>
      </c>
    </row>
    <row r="16" spans="1:6" s="7" customFormat="1" ht="12" customHeight="1">
      <c r="A16" s="187" t="s">
        <v>249</v>
      </c>
      <c r="B16" s="448" t="s">
        <v>62</v>
      </c>
      <c r="C16" s="503">
        <f>SUM('3a.számú melléklet'!C16+'3b.számú melléklet'!C16+'3c.számú melléklet'!C16+'3d.számú melléklet'!C16+'3e.számú melléklet'!C16+'3f.számú melléklet'!C16+'3g.számú melléklet'!C16+'3h.számú melléklet'!C16)</f>
        <v>2009617</v>
      </c>
      <c r="D16" s="503">
        <f>SUM('3a.számú melléklet'!D16+'3b.számú melléklet'!D16+'3c.számú melléklet'!D16+'3d.számú melléklet'!D16+'3e.számú melléklet'!D16+'3f.számú melléklet'!D16+'3g.számú melléklet'!D16+'3h.számú melléklet'!D16)</f>
        <v>2406462</v>
      </c>
      <c r="E16" s="503">
        <f>SUM('3a.számú melléklet'!E16+'3b.számú melléklet'!E16+'3c.számú melléklet'!E16+'3d.számú melléklet'!E16+'3e.számú melléklet'!E16+'3f.számú melléklet'!E16+'3g.számú melléklet'!E16+'3h.számú melléklet'!E16)</f>
        <v>-185234</v>
      </c>
      <c r="F16" s="503">
        <f>SUM('3a.számú melléklet'!F16+'3b.számú melléklet'!F16+'3c.számú melléklet'!F16+'3d.számú melléklet'!F16+'3e.számú melléklet'!F16+'3f.számú melléklet'!F16+'3g.számú melléklet'!F16+'3h.számú melléklet'!F16)</f>
        <v>2221228</v>
      </c>
    </row>
    <row r="17" spans="1:6" s="6" customFormat="1" ht="24" customHeight="1">
      <c r="A17" s="766" t="s">
        <v>95</v>
      </c>
      <c r="B17" s="767" t="s">
        <v>209</v>
      </c>
      <c r="C17" s="883">
        <f>SUM('3a.számú melléklet'!C17+'3b.számú melléklet'!C17+'3c.számú melléklet'!C17+'3d.számú melléklet'!C17+'3e.számú melléklet'!C17+'3f.számú melléklet'!C17+'3g.számú melléklet'!C17+'3h.számú melléklet'!C17)</f>
        <v>8118</v>
      </c>
      <c r="D17" s="883">
        <f>SUM('3a.számú melléklet'!D17+'3b.számú melléklet'!D17+'3c.számú melléklet'!D17+'3d.számú melléklet'!D17+'3e.számú melléklet'!D17+'3f.számú melléklet'!D17+'3g.számú melléklet'!D17+'3h.számú melléklet'!D17)</f>
        <v>8118</v>
      </c>
      <c r="E17" s="883">
        <f>SUM('3a.számú melléklet'!E17+'3b.számú melléklet'!E17+'3c.számú melléklet'!E17+'3d.számú melléklet'!E17+'3e.számú melléklet'!E17+'3f.számú melléklet'!E17+'3g.számú melléklet'!E17+'3h.számú melléklet'!E17)</f>
        <v>117232</v>
      </c>
      <c r="F17" s="883">
        <f>SUM('3a.számú melléklet'!F17+'3b.számú melléklet'!F17+'3c.számú melléklet'!F17+'3d.számú melléklet'!F17+'3e.számú melléklet'!F17+'3f.számú melléklet'!F17+'3g.számú melléklet'!F17+'3h.számú melléklet'!F17)</f>
        <v>125350</v>
      </c>
    </row>
    <row r="18" spans="1:6" s="7" customFormat="1" ht="12" customHeight="1">
      <c r="A18" s="755"/>
      <c r="B18" s="757" t="s">
        <v>471</v>
      </c>
      <c r="C18" s="504">
        <f>SUM('3a.számú melléklet'!C18+'3b.számú melléklet'!C18+'3c.számú melléklet'!C18+'3d.számú melléklet'!C18+'3e.számú melléklet'!C18+'3f.számú melléklet'!C18+'3g.számú melléklet'!C18+'3h.számú melléklet'!C18)</f>
        <v>0</v>
      </c>
      <c r="D18" s="504">
        <f>SUM('3a.számú melléklet'!D18+'3b.számú melléklet'!D18+'3c.számú melléklet'!D18+'3d.számú melléklet'!D18+'3e.számú melléklet'!D18+'3f.számú melléklet'!D18+'3g.számú melléklet'!D18+'3h.számú melléklet'!D18)</f>
        <v>0</v>
      </c>
      <c r="E18" s="504">
        <f>SUM('3a.számú melléklet'!E18+'3b.számú melléklet'!E18+'3c.számú melléklet'!E18+'3d.számú melléklet'!E18+'3e.számú melléklet'!E18+'3f.számú melléklet'!E18+'3g.számú melléklet'!E18+'3h.számú melléklet'!E18)</f>
        <v>117232</v>
      </c>
      <c r="F18" s="504">
        <f>SUM('3a.számú melléklet'!F18+'3b.számú melléklet'!F18+'3c.számú melléklet'!F18+'3d.számú melléklet'!F18+'3e.számú melléklet'!F18+'3f.számú melléklet'!F18+'3g.számú melléklet'!F18+'3h.számú melléklet'!F18)</f>
        <v>117232</v>
      </c>
    </row>
    <row r="19" spans="1:6" s="7" customFormat="1" ht="12" customHeight="1">
      <c r="A19" s="756"/>
      <c r="B19" s="758" t="s">
        <v>639</v>
      </c>
      <c r="C19" s="505">
        <f>SUM('3a.számú melléklet'!C19+'3b.számú melléklet'!C19+'3c.számú melléklet'!C19+'3d.számú melléklet'!C19+'3e.számú melléklet'!C19+'3f.számú melléklet'!C19+'3g.számú melléklet'!C19+'3h.számú melléklet'!C19)</f>
        <v>0</v>
      </c>
      <c r="D19" s="505">
        <f>SUM('3a.számú melléklet'!D19+'3b.számú melléklet'!D19+'3c.számú melléklet'!D19+'3d.számú melléklet'!D19+'3e.számú melléklet'!D19+'3f.számú melléklet'!D19+'3g.számú melléklet'!D19+'3h.számú melléklet'!D19)</f>
        <v>0</v>
      </c>
      <c r="E19" s="505">
        <f>SUM('3a.számú melléklet'!E19+'3b.számú melléklet'!E19+'3c.számú melléklet'!E19+'3d.számú melléklet'!E19+'3e.számú melléklet'!E19+'3f.számú melléklet'!E19+'3g.számú melléklet'!E19+'3h.számú melléklet'!E19)</f>
        <v>117232</v>
      </c>
      <c r="F19" s="505">
        <f>SUM('3a.számú melléklet'!F19+'3b.számú melléklet'!F19+'3c.számú melléklet'!F19+'3d.számú melléklet'!F19+'3e.számú melléklet'!F19+'3f.számú melléklet'!F19+'3g.számú melléklet'!F19+'3h.számú melléklet'!F19)</f>
        <v>117232</v>
      </c>
    </row>
    <row r="20" spans="1:6" s="7" customFormat="1" ht="24" customHeight="1">
      <c r="A20" s="756"/>
      <c r="B20" s="732" t="s">
        <v>472</v>
      </c>
      <c r="C20" s="505">
        <f>SUM('3a.számú melléklet'!C20+'3b.számú melléklet'!C20+'3c.számú melléklet'!C20+'3d.számú melléklet'!C20+'3e.számú melléklet'!C20+'3f.számú melléklet'!C20+'3g.számú melléklet'!C20+'3h.számú melléklet'!C20)</f>
        <v>8118</v>
      </c>
      <c r="D20" s="505">
        <f>SUM('3a.számú melléklet'!D20+'3b.számú melléklet'!D20+'3c.számú melléklet'!D20+'3d.számú melléklet'!D20+'3e.számú melléklet'!D20+'3f.számú melléklet'!D20+'3g.számú melléklet'!D20+'3h.számú melléklet'!D20)</f>
        <v>8118</v>
      </c>
      <c r="E20" s="505">
        <f>SUM('3a.számú melléklet'!E20+'3b.számú melléklet'!E20+'3c.számú melléklet'!E20+'3d.számú melléklet'!E20+'3e.számú melléklet'!E20+'3f.számú melléklet'!E20+'3g.számú melléklet'!E20+'3h.számú melléklet'!E20)</f>
        <v>0</v>
      </c>
      <c r="F20" s="505">
        <f>SUM('3a.számú melléklet'!F20+'3b.számú melléklet'!F20+'3c.számú melléklet'!F20+'3d.számú melléklet'!F20+'3e.számú melléklet'!F20+'3f.számú melléklet'!F20+'3g.számú melléklet'!F20+'3h.számú melléklet'!F20)</f>
        <v>8118</v>
      </c>
    </row>
    <row r="21" spans="1:6" s="7" customFormat="1" ht="12" customHeight="1">
      <c r="A21" s="187" t="s">
        <v>96</v>
      </c>
      <c r="B21" s="448" t="s">
        <v>192</v>
      </c>
      <c r="C21" s="503">
        <f>SUM('3a.számú melléklet'!C21+'3b.számú melléklet'!C21+'3c.számú melléklet'!C21+'3d.számú melléklet'!C21+'3e.számú melléklet'!C21+'3f.számú melléklet'!C21+'3g.számú melléklet'!C21+'3h.számú melléklet'!C21)</f>
        <v>0</v>
      </c>
      <c r="D21" s="503">
        <f>SUM('3a.számú melléklet'!D21+'3b.számú melléklet'!D21+'3c.számú melléklet'!D21+'3d.számú melléklet'!D21+'3e.számú melléklet'!D21+'3f.számú melléklet'!D21+'3g.számú melléklet'!D21+'3h.számú melléklet'!D21)</f>
        <v>462</v>
      </c>
      <c r="E21" s="503">
        <f>SUM('3a.számú melléklet'!E21+'3b.számú melléklet'!E21+'3c.számú melléklet'!E21+'3d.számú melléklet'!E21+'3e.számú melléklet'!E21+'3f.számú melléklet'!E21+'3g.számú melléklet'!E21+'3h.számú melléklet'!E21)</f>
        <v>0</v>
      </c>
      <c r="F21" s="503">
        <f>SUM('3a.számú melléklet'!F21+'3b.számú melléklet'!F21+'3c.számú melléklet'!F21+'3d.számú melléklet'!F21+'3e.számú melléklet'!F21+'3f.számú melléklet'!F21+'3g.számú melléklet'!F21+'3h.számú melléklet'!F21)</f>
        <v>462</v>
      </c>
    </row>
    <row r="22" spans="1:6" s="134" customFormat="1" ht="13.5">
      <c r="A22" s="159" t="s">
        <v>277</v>
      </c>
      <c r="B22" s="34" t="s">
        <v>376</v>
      </c>
      <c r="C22" s="435">
        <f>SUM('3a.számú melléklet'!C22+'3b.számú melléklet'!C22+'3c.számú melléklet'!C22+'3d.számú melléklet'!C22+'3e.számú melléklet'!C22+'3f.számú melléklet'!C22+'3g.számú melléklet'!C22+'3h.számú melléklet'!C22)</f>
        <v>8797202</v>
      </c>
      <c r="D22" s="435">
        <f>SUM('3a.számú melléklet'!D22+'3b.számú melléklet'!D22+'3c.számú melléklet'!D22+'3d.számú melléklet'!D22+'3e.számú melléklet'!D22+'3f.számú melléklet'!D22+'3g.számú melléklet'!D22+'3h.számú melléklet'!D22)</f>
        <v>9616240</v>
      </c>
      <c r="E22" s="435">
        <f>SUM('3a.számú melléklet'!E22+'3b.számú melléklet'!E22+'3c.számú melléklet'!E22+'3d.számú melléklet'!E22+'3e.számú melléklet'!E22+'3f.számú melléklet'!E22+'3g.számú melléklet'!E22+'3h.számú melléklet'!E22)</f>
        <v>-53516</v>
      </c>
      <c r="F22" s="435">
        <f>SUM('3a.számú melléklet'!F22+'3b.számú melléklet'!F22+'3c.számú melléklet'!F22+'3d.számú melléklet'!F22+'3e.számú melléklet'!F22+'3f.számú melléklet'!F22+'3g.számú melléklet'!F22+'3h.számú melléklet'!F22)</f>
        <v>9562724</v>
      </c>
    </row>
    <row r="23" spans="1:6" s="7" customFormat="1" ht="12" customHeight="1">
      <c r="A23" s="187" t="s">
        <v>97</v>
      </c>
      <c r="B23" s="448" t="s">
        <v>214</v>
      </c>
      <c r="C23" s="503">
        <f>SUM('3a.számú melléklet'!C23+'3b.számú melléklet'!C23+'3c.számú melléklet'!C23+'3d.számú melléklet'!C23+'3e.számú melléklet'!C23+'3f.számú melléklet'!C23+'3g.számú melléklet'!C23+'3h.számú melléklet'!C23)</f>
        <v>9000</v>
      </c>
      <c r="D23" s="503">
        <f>SUM('3a.számú melléklet'!D23+'3b.számú melléklet'!D23+'3c.számú melléklet'!D23+'3d.számú melléklet'!D23+'3e.számú melléklet'!D23+'3f.számú melléklet'!D23+'3g.számú melléklet'!D23+'3h.számú melléklet'!D23)</f>
        <v>582068</v>
      </c>
      <c r="E23" s="503">
        <f>SUM('3a.számú melléklet'!E23+'3b.számú melléklet'!E23+'3c.számú melléklet'!E23+'3d.számú melléklet'!E23+'3e.számú melléklet'!E23+'3f.számú melléklet'!E23+'3g.számú melléklet'!E23+'3h.számú melléklet'!E23)</f>
        <v>26214</v>
      </c>
      <c r="F23" s="503">
        <f>SUM('3a.számú melléklet'!F23+'3b.számú melléklet'!F23+'3c.számú melléklet'!F23+'3d.számú melléklet'!F23+'3e.számú melléklet'!F23+'3f.számú melléklet'!F23+'3g.számú melléklet'!F23+'3h.számú melléklet'!F23)</f>
        <v>608282</v>
      </c>
    </row>
    <row r="24" spans="1:6" s="7" customFormat="1" ht="12" customHeight="1">
      <c r="A24" s="187" t="s">
        <v>98</v>
      </c>
      <c r="B24" s="448" t="s">
        <v>217</v>
      </c>
      <c r="C24" s="503">
        <f>SUM('3a.számú melléklet'!C24+'3b.számú melléklet'!C24+'3c.számú melléklet'!C24+'3d.számú melléklet'!C24+'3e.számú melléklet'!C24+'3f.számú melléklet'!C24+'3g.számú melléklet'!C24+'3h.számú melléklet'!C24)</f>
        <v>0</v>
      </c>
      <c r="D24" s="503">
        <f>SUM('3a.számú melléklet'!D24+'3b.számú melléklet'!D24+'3c.számú melléklet'!D24+'3d.számú melléklet'!D24+'3e.számú melléklet'!D24+'3f.számú melléklet'!D24+'3g.számú melléklet'!D24+'3h.számú melléklet'!D24)</f>
        <v>48782</v>
      </c>
      <c r="E24" s="503">
        <f>SUM('3a.számú melléklet'!E24+'3b.számú melléklet'!E24+'3c.számú melléklet'!E24+'3d.számú melléklet'!E24+'3e.számú melléklet'!E24+'3f.számú melléklet'!E24+'3g.számú melléklet'!E24+'3h.számú melléklet'!E24)</f>
        <v>9651</v>
      </c>
      <c r="F24" s="503">
        <f>SUM('3a.számú melléklet'!F24+'3b.számú melléklet'!F24+'3c.számú melléklet'!F24+'3d.számú melléklet'!F24+'3e.számú melléklet'!F24+'3f.számú melléklet'!F24+'3g.számú melléklet'!F24+'3h.számú melléklet'!F24)</f>
        <v>58433</v>
      </c>
    </row>
    <row r="25" spans="1:6" s="6" customFormat="1" ht="24.75" customHeight="1">
      <c r="A25" s="186" t="s">
        <v>99</v>
      </c>
      <c r="B25" s="464" t="s">
        <v>210</v>
      </c>
      <c r="C25" s="28">
        <f>SUM('3a.számú melléklet'!C25+'3b.számú melléklet'!C25+'3c.számú melléklet'!C25+'3d.számú melléklet'!C25+'3e.számú melléklet'!C25+'3f.számú melléklet'!C25+'3g.számú melléklet'!C25+'3h.számú melléklet'!C25)</f>
        <v>0</v>
      </c>
      <c r="D25" s="28">
        <f>SUM('3a.számú melléklet'!D25+'3b.számú melléklet'!D25+'3c.számú melléklet'!D25+'3d.számú melléklet'!D25+'3e.számú melléklet'!D25+'3f.számú melléklet'!D25+'3g.számú melléklet'!D25+'3h.számú melléklet'!D25)</f>
        <v>6600</v>
      </c>
      <c r="E25" s="28">
        <f>SUM('3a.számú melléklet'!E25+'3b.számú melléklet'!E25+'3c.számú melléklet'!E25+'3d.számú melléklet'!E25+'3e.számú melléklet'!E25+'3f.számú melléklet'!E25+'3g.számú melléklet'!E25+'3h.számú melléklet'!E25)</f>
        <v>70358</v>
      </c>
      <c r="F25" s="28">
        <f>SUM('3a.számú melléklet'!F25+'3b.számú melléklet'!F25+'3c.számú melléklet'!F25+'3d.számú melléklet'!F25+'3e.számú melléklet'!F25+'3f.számú melléklet'!F25+'3g.számú melléklet'!F25+'3h.számú melléklet'!F25)</f>
        <v>76958</v>
      </c>
    </row>
    <row r="26" spans="1:6" s="7" customFormat="1" ht="12" customHeight="1" hidden="1">
      <c r="A26" s="755"/>
      <c r="B26" s="759"/>
      <c r="C26" s="504">
        <f>SUM('3a.számú melléklet'!C26+'3b.számú melléklet'!C26+'3c.számú melléklet'!C26+'3d.számú melléklet'!C26+'3e.számú melléklet'!C26+'3f.számú melléklet'!C26+'3g.számú melléklet'!C26+'3h.számú melléklet'!C26)</f>
        <v>0</v>
      </c>
      <c r="D26" s="504">
        <f>SUM('3a.számú melléklet'!D26+'3b.számú melléklet'!D26+'3c.számú melléklet'!D26+'3d.számú melléklet'!D26+'3e.számú melléklet'!D26+'3f.számú melléklet'!D26+'3g.számú melléklet'!D26+'3h.számú melléklet'!D26)</f>
        <v>0</v>
      </c>
      <c r="E26" s="504">
        <f>SUM('3a.számú melléklet'!E26+'3b.számú melléklet'!E26+'3c.számú melléklet'!E26+'3d.számú melléklet'!E26+'3e.számú melléklet'!E26+'3f.számú melléklet'!E26+'3g.számú melléklet'!E26+'3h.számú melléklet'!E26)</f>
        <v>0</v>
      </c>
      <c r="F26" s="504">
        <f>SUM('3a.számú melléklet'!F26+'3b.számú melléklet'!F26+'3c.számú melléklet'!F26+'3d.számú melléklet'!F26+'3e.számú melléklet'!F26+'3f.számú melléklet'!F26+'3g.számú melléklet'!F26+'3h.számú melléklet'!F26)</f>
        <v>0</v>
      </c>
    </row>
    <row r="27" spans="1:6" s="57" customFormat="1" ht="11.25" customHeight="1">
      <c r="A27" s="469"/>
      <c r="B27" s="757" t="s">
        <v>473</v>
      </c>
      <c r="C27" s="504">
        <f>SUM('3a.számú melléklet'!C27+'3b.számú melléklet'!C27+'3c.számú melléklet'!C27+'3d.számú melléklet'!C27+'3e.számú melléklet'!C27+'3f.számú melléklet'!C27+'3g.számú melléklet'!C27+'3h.számú melléklet'!C27)</f>
        <v>0</v>
      </c>
      <c r="D27" s="504">
        <f>SUM('3a.számú melléklet'!D27+'3b.számú melléklet'!D27+'3c.számú melléklet'!D27+'3d.számú melléklet'!D27+'3e.számú melléklet'!D27+'3f.számú melléklet'!D27+'3g.számú melléklet'!D27+'3h.számú melléklet'!D27)</f>
        <v>0</v>
      </c>
      <c r="E27" s="504">
        <f>SUM('3a.számú melléklet'!E27+'3b.számú melléklet'!E27+'3c.számú melléklet'!E27+'3d.számú melléklet'!E27+'3e.számú melléklet'!E27+'3f.számú melléklet'!E27+'3g.számú melléklet'!E27+'3h.számú melléklet'!E27)</f>
        <v>70358</v>
      </c>
      <c r="F27" s="504">
        <f>SUM('3a.számú melléklet'!F27+'3b.számú melléklet'!F27+'3c.számú melléklet'!F27+'3d.számú melléklet'!F27+'3e.számú melléklet'!F27+'3f.számú melléklet'!F27+'3g.számú melléklet'!F27+'3h.számú melléklet'!F27)</f>
        <v>70358</v>
      </c>
    </row>
    <row r="28" spans="1:6" s="57" customFormat="1" ht="11.25" customHeight="1">
      <c r="A28" s="472"/>
      <c r="B28" s="758" t="s">
        <v>639</v>
      </c>
      <c r="C28" s="505">
        <f>SUM('3a.számú melléklet'!C28+'3b.számú melléklet'!C28+'3c.számú melléklet'!C28+'3d.számú melléklet'!C28+'3e.számú melléklet'!C28+'3f.számú melléklet'!C28+'3g.számú melléklet'!C28+'3h.számú melléklet'!C28)</f>
        <v>0</v>
      </c>
      <c r="D28" s="505">
        <f>SUM('3a.számú melléklet'!D28+'3b.számú melléklet'!D28+'3c.számú melléklet'!D28+'3d.számú melléklet'!D28+'3e.számú melléklet'!D28+'3f.számú melléklet'!D28+'3g.számú melléklet'!D28+'3h.számú melléklet'!D28)</f>
        <v>0</v>
      </c>
      <c r="E28" s="505">
        <f>SUM('3a.számú melléklet'!E28+'3b.számú melléklet'!E28+'3c.számú melléklet'!E28+'3d.számú melléklet'!E28+'3e.számú melléklet'!E28+'3f.számú melléklet'!E28+'3g.számú melléklet'!E28+'3h.számú melléklet'!E28)</f>
        <v>70358</v>
      </c>
      <c r="F28" s="505">
        <f>SUM('3a.számú melléklet'!F28+'3b.számú melléklet'!F28+'3c.számú melléklet'!F28+'3d.számú melléklet'!F28+'3e.számú melléklet'!F28+'3f.számú melléklet'!F28+'3g.számú melléklet'!F28+'3h.számú melléklet'!F28)</f>
        <v>70358</v>
      </c>
    </row>
    <row r="29" spans="1:6" s="57" customFormat="1" ht="24" customHeight="1">
      <c r="A29" s="472"/>
      <c r="B29" s="732" t="s">
        <v>475</v>
      </c>
      <c r="C29" s="505">
        <f>SUM('3a.számú melléklet'!C29+'3b.számú melléklet'!C29+'3c.számú melléklet'!C29+'3d.számú melléklet'!C29+'3e.számú melléklet'!C29+'3f.számú melléklet'!C29+'3g.számú melléklet'!C29+'3h.számú melléklet'!C29)</f>
        <v>0</v>
      </c>
      <c r="D29" s="505">
        <f>SUM('3a.számú melléklet'!D29+'3b.számú melléklet'!D29+'3c.számú melléklet'!D29+'3d.számú melléklet'!D29+'3e.számú melléklet'!D29+'3f.számú melléklet'!D29+'3g.számú melléklet'!D29+'3h.számú melléklet'!D29)</f>
        <v>6600</v>
      </c>
      <c r="E29" s="505">
        <f>SUM('3a.számú melléklet'!E29+'3b.számú melléklet'!E29+'3c.számú melléklet'!E29+'3d.számú melléklet'!E29+'3e.számú melléklet'!E29+'3f.számú melléklet'!E29+'3g.számú melléklet'!E29+'3h.számú melléklet'!E29)</f>
        <v>0</v>
      </c>
      <c r="F29" s="505">
        <f>SUM('3a.számú melléklet'!F29+'3b.számú melléklet'!F29+'3c.számú melléklet'!F29+'3d.számú melléklet'!F29+'3e.számú melléklet'!F29+'3f.számú melléklet'!F29+'3g.számú melléklet'!F29+'3h.számú melléklet'!F29)</f>
        <v>6600</v>
      </c>
    </row>
    <row r="30" spans="1:6" s="33" customFormat="1" ht="12" customHeight="1">
      <c r="A30" s="159" t="s">
        <v>397</v>
      </c>
      <c r="B30" s="34" t="s">
        <v>377</v>
      </c>
      <c r="C30" s="435">
        <f>SUM('3a.számú melléklet'!C30+'3b.számú melléklet'!C30+'3c.számú melléklet'!C30+'3d.számú melléklet'!C30+'3e.számú melléklet'!C30+'3f.számú melléklet'!C30+'3g.számú melléklet'!C30+'3h.számú melléklet'!C30)</f>
        <v>9000</v>
      </c>
      <c r="D30" s="435">
        <f>SUM('3a.számú melléklet'!D30+'3b.számú melléklet'!D30+'3c.számú melléklet'!D30+'3d.számú melléklet'!D30+'3e.számú melléklet'!D30+'3f.számú melléklet'!D30+'3g.számú melléklet'!D30+'3h.számú melléklet'!D30)</f>
        <v>637450</v>
      </c>
      <c r="E30" s="435">
        <f>SUM('3a.számú melléklet'!E30+'3b.számú melléklet'!E30+'3c.számú melléklet'!E30+'3d.számú melléklet'!E30+'3e.számú melléklet'!E30+'3f.számú melléklet'!E30+'3g.számú melléklet'!E30+'3h.számú melléklet'!E30)</f>
        <v>106223</v>
      </c>
      <c r="F30" s="435">
        <f>SUM('3a.számú melléklet'!F30+'3b.számú melléklet'!F30+'3c.számú melléklet'!F30+'3d.számú melléklet'!F30+'3e.számú melléklet'!F30+'3f.számú melléklet'!F30+'3g.számú melléklet'!F30+'3h.számú melléklet'!F30)</f>
        <v>743673</v>
      </c>
    </row>
    <row r="31" spans="1:6" s="455" customFormat="1" ht="12" customHeight="1">
      <c r="A31" s="453"/>
      <c r="B31" s="454" t="s">
        <v>120</v>
      </c>
      <c r="C31" s="421">
        <f>SUM('3a.számú melléklet'!C31+'3b.számú melléklet'!C31+'3c.számú melléklet'!C31+'3d.számú melléklet'!C31+'3e.számú melléklet'!C31+'3f.számú melléklet'!C31+'3g.számú melléklet'!C31+'3h.számú melléklet'!C31)</f>
        <v>8806202</v>
      </c>
      <c r="D31" s="421">
        <f>SUM('3a.számú melléklet'!D31+'3b.számú melléklet'!D31+'3c.számú melléklet'!D31+'3d.számú melléklet'!D31+'3e.számú melléklet'!D31+'3f.számú melléklet'!D31+'3g.számú melléklet'!D31+'3h.számú melléklet'!D31)</f>
        <v>10253690</v>
      </c>
      <c r="E31" s="421">
        <f>SUM('3a.számú melléklet'!E31+'3b.számú melléklet'!E31+'3c.számú melléklet'!E31+'3d.számú melléklet'!E31+'3e.számú melléklet'!E31+'3f.számú melléklet'!E31+'3g.számú melléklet'!E31+'3h.számú melléklet'!E31)</f>
        <v>52707</v>
      </c>
      <c r="F31" s="421">
        <f>SUM('3a.számú melléklet'!F31+'3b.számú melléklet'!F31+'3c.számú melléklet'!F31+'3d.számú melléklet'!F31+'3e.számú melléklet'!F31+'3f.számú melléklet'!F31+'3g.számú melléklet'!F31+'3h.számú melléklet'!F31)</f>
        <v>10306397</v>
      </c>
    </row>
    <row r="32" spans="1:6" s="33" customFormat="1" ht="12" customHeight="1">
      <c r="A32" s="159"/>
      <c r="B32" s="64" t="s">
        <v>378</v>
      </c>
      <c r="C32" s="503"/>
      <c r="D32" s="503"/>
      <c r="E32" s="503"/>
      <c r="F32" s="503"/>
    </row>
    <row r="33" spans="1:6" s="33" customFormat="1" ht="11.25" customHeight="1">
      <c r="A33" s="150" t="s">
        <v>247</v>
      </c>
      <c r="B33" s="140" t="s">
        <v>464</v>
      </c>
      <c r="C33" s="503">
        <f>SUM('3a.számú melléklet'!C33+'3b.számú melléklet'!C33+'3c.számú melléklet'!C33+'3d.számú melléklet'!C33+'3e.számú melléklet'!C33+'3f.számú melléklet'!C33+'3g.számú melléklet'!C33+'3h.számú melléklet'!C33)</f>
        <v>0</v>
      </c>
      <c r="D33" s="503">
        <f>SUM('3a.számú melléklet'!D33+'3b.számú melléklet'!D33+'3c.számú melléklet'!D33+'3d.számú melléklet'!D33+'3e.számú melléklet'!D33+'3f.számú melléklet'!D33+'3g.számú melléklet'!D33+'3h.számú melléklet'!D33)</f>
        <v>0</v>
      </c>
      <c r="E33" s="503">
        <f>SUM('3a.számú melléklet'!E33+'3b.számú melléklet'!E33+'3c.számú melléklet'!E33+'3d.számú melléklet'!E33+'3e.számú melléklet'!E33+'3f.számú melléklet'!E33+'3g.számú melléklet'!E33+'3h.számú melléklet'!E33)</f>
        <v>0</v>
      </c>
      <c r="F33" s="503">
        <f>SUM('3a.számú melléklet'!F33+'3b.számú melléklet'!F33+'3c.számú melléklet'!F33+'3d.számú melléklet'!F33+'3e.számú melléklet'!F33+'3f.számú melléklet'!F33+'3g.számú melléklet'!F33+'3h.számú melléklet'!F33)</f>
        <v>0</v>
      </c>
    </row>
    <row r="34" spans="1:6" s="33" customFormat="1" ht="24" customHeight="1">
      <c r="A34" s="469" t="s">
        <v>248</v>
      </c>
      <c r="B34" s="470" t="s">
        <v>155</v>
      </c>
      <c r="C34" s="504">
        <f>SUM('3a.számú melléklet'!C34+'3b.számú melléklet'!C34+'3c.számú melléklet'!C34+'3d.számú melléklet'!C34+'3e.számú melléklet'!C34+'3f.számú melléklet'!C34+'3g.számú melléklet'!C34+'3h.számú melléklet'!C34)</f>
        <v>411267</v>
      </c>
      <c r="D34" s="504">
        <f>SUM('3a.számú melléklet'!D34+'3b.számú melléklet'!D34+'3c.számú melléklet'!D34+'3d.számú melléklet'!D34+'3e.számú melléklet'!D34+'3f.számú melléklet'!D34+'3g.számú melléklet'!D34+'3h.számú melléklet'!D34)</f>
        <v>411267</v>
      </c>
      <c r="E34" s="504">
        <f>SUM('3a.számú melléklet'!E34+'3b.számú melléklet'!E34+'3c.számú melléklet'!E34+'3d.számú melléklet'!E34+'3e.számú melléklet'!E34+'3f.számú melléklet'!E34+'3g.számú melléklet'!E34+'3h.számú melléklet'!E34)</f>
        <v>0</v>
      </c>
      <c r="F34" s="504">
        <f>SUM('3a.számú melléklet'!F34+'3b.számú melléklet'!F34+'3c.számú melléklet'!F34+'3d.számú melléklet'!F34+'3e.számú melléklet'!F34+'3f.számú melléklet'!F34+'3g.számú melléklet'!F34+'3h.számú melléklet'!F34)</f>
        <v>411267</v>
      </c>
    </row>
    <row r="35" spans="1:6" s="33" customFormat="1" ht="12" customHeight="1">
      <c r="A35" s="472"/>
      <c r="B35" s="473" t="s">
        <v>458</v>
      </c>
      <c r="C35" s="505">
        <f>SUM('3a.számú melléklet'!C35+'3b.számú melléklet'!C35+'3c.számú melléklet'!C35+'3d.számú melléklet'!C35+'3e.számú melléklet'!C35+'3f.számú melléklet'!C35+'3g.számú melléklet'!C35+'3h.számú melléklet'!C35)</f>
        <v>3530</v>
      </c>
      <c r="D35" s="505">
        <f>SUM('3a.számú melléklet'!D35+'3b.számú melléklet'!D35+'3c.számú melléklet'!D35+'3d.számú melléklet'!D35+'3e.számú melléklet'!D35+'3f.számú melléklet'!D35+'3g.számú melléklet'!D35+'3h.számú melléklet'!D35)</f>
        <v>3530</v>
      </c>
      <c r="E35" s="505">
        <f>SUM('3a.számú melléklet'!E35+'3b.számú melléklet'!E35+'3c.számú melléklet'!E35+'3d.számú melléklet'!E35+'3e.számú melléklet'!E35+'3f.számú melléklet'!E35+'3g.számú melléklet'!E35+'3h.számú melléklet'!E35)</f>
        <v>0</v>
      </c>
      <c r="F35" s="505">
        <f>SUM('3a.számú melléklet'!F35+'3b.számú melléklet'!F35+'3c.számú melléklet'!F35+'3d.számú melléklet'!F35+'3e.számú melléklet'!F35+'3f.számú melléklet'!F35+'3g.számú melléklet'!F35+'3h.számú melléklet'!F35)</f>
        <v>3530</v>
      </c>
    </row>
    <row r="36" spans="1:6" s="33" customFormat="1" ht="12" customHeight="1">
      <c r="A36" s="150" t="s">
        <v>249</v>
      </c>
      <c r="B36" s="35" t="s">
        <v>94</v>
      </c>
      <c r="C36" s="503">
        <f>SUM('3a.számú melléklet'!C36+'3b.számú melléklet'!C36+'3c.számú melléklet'!C36+'3d.számú melléklet'!C36+'3e.számú melléklet'!C36+'3f.számú melléklet'!C36+'3g.számú melléklet'!C36+'3h.számú melléklet'!C36)</f>
        <v>24623</v>
      </c>
      <c r="D36" s="503">
        <f>SUM('3a.számú melléklet'!D36+'3b.számú melléklet'!D36+'3c.számú melléklet'!D36+'3d.számú melléklet'!D36+'3e.számú melléklet'!D36+'3f.számú melléklet'!D36+'3g.számú melléklet'!D36+'3h.számú melléklet'!D36)</f>
        <v>24623</v>
      </c>
      <c r="E36" s="503">
        <f>SUM('3a.számú melléklet'!E36+'3b.számú melléklet'!E36+'3c.számú melléklet'!E36+'3d.számú melléklet'!E36+'3e.számú melléklet'!E36+'3f.számú melléklet'!E36+'3g.számú melléklet'!E36+'3h.számú melléklet'!E36)</f>
        <v>0</v>
      </c>
      <c r="F36" s="503">
        <f>SUM('3a.számú melléklet'!F36+'3b.számú melléklet'!F36+'3c.számú melléklet'!F36+'3d.számú melléklet'!F36+'3e.számú melléklet'!F36+'3f.számú melléklet'!F36+'3g.számú melléklet'!F36+'3h.számú melléklet'!F36)</f>
        <v>24623</v>
      </c>
    </row>
    <row r="37" spans="1:6" s="33" customFormat="1" ht="12" customHeight="1">
      <c r="A37" s="150" t="s">
        <v>95</v>
      </c>
      <c r="B37" s="35" t="s">
        <v>421</v>
      </c>
      <c r="C37" s="503">
        <f>SUM('3a.számú melléklet'!C37+'3b.számú melléklet'!C37+'3c.számú melléklet'!C37+'3d.számú melléklet'!C37+'3e.számú melléklet'!C37+'3f.számú melléklet'!C37+'3g.számú melléklet'!C37+'3h.számú melléklet'!C37)</f>
        <v>50924</v>
      </c>
      <c r="D37" s="503">
        <f>SUM('3a.számú melléklet'!D37+'3b.számú melléklet'!D37+'3c.számú melléklet'!D37+'3d.számú melléklet'!D37+'3e.számú melléklet'!D37+'3f.számú melléklet'!D37+'3g.számú melléklet'!D37+'3h.számú melléklet'!D37)</f>
        <v>50924</v>
      </c>
      <c r="E37" s="503">
        <f>SUM('3a.számú melléklet'!E37+'3b.számú melléklet'!E37+'3c.számú melléklet'!E37+'3d.számú melléklet'!E37+'3e.számú melléklet'!E37+'3f.számú melléklet'!E37+'3g.számú melléklet'!E37+'3h.számú melléklet'!E37)</f>
        <v>0</v>
      </c>
      <c r="F37" s="503">
        <f>SUM('3a.számú melléklet'!F37+'3b.számú melléklet'!F37+'3c.számú melléklet'!F37+'3d.számú melléklet'!F37+'3e.számú melléklet'!F37+'3f.számú melléklet'!F37+'3g.számú melléklet'!F37+'3h.számú melléklet'!F37)</f>
        <v>50924</v>
      </c>
    </row>
    <row r="38" spans="1:6" s="33" customFormat="1" ht="12" customHeight="1">
      <c r="A38" s="469" t="s">
        <v>96</v>
      </c>
      <c r="B38" s="760" t="s">
        <v>297</v>
      </c>
      <c r="C38" s="504">
        <f>SUM('3a.számú melléklet'!C38+'3b.számú melléklet'!C38+'3c.számú melléklet'!C38+'3d.számú melléklet'!C38+'3e.számú melléklet'!C38+'3f.számú melléklet'!C38+'3g.számú melléklet'!C38+'3h.számú melléklet'!C38)</f>
        <v>588</v>
      </c>
      <c r="D38" s="504">
        <f>SUM('3a.számú melléklet'!D38+'3b.számú melléklet'!D38+'3c.számú melléklet'!D38+'3d.számú melléklet'!D38+'3e.számú melléklet'!D38+'3f.számú melléklet'!D38+'3g.számú melléklet'!D38+'3h.számú melléklet'!D38)</f>
        <v>588</v>
      </c>
      <c r="E38" s="504">
        <f>SUM('3a.számú melléklet'!E38+'3b.számú melléklet'!E38+'3c.számú melléklet'!E38+'3d.számú melléklet'!E38+'3e.számú melléklet'!E38+'3f.számú melléklet'!E38+'3g.számú melléklet'!E38+'3h.számú melléklet'!E38)</f>
        <v>0</v>
      </c>
      <c r="F38" s="504">
        <f>SUM('3a.számú melléklet'!F38+'3b.számú melléklet'!F38+'3c.számú melléklet'!F38+'3d.számú melléklet'!F38+'3e.számú melléklet'!F38+'3f.számú melléklet'!F38+'3g.számú melléklet'!F38+'3h.számú melléklet'!F38)</f>
        <v>588</v>
      </c>
    </row>
    <row r="39" spans="1:6" s="33" customFormat="1" ht="25.5" customHeight="1">
      <c r="A39" s="469" t="s">
        <v>97</v>
      </c>
      <c r="B39" s="775" t="s">
        <v>205</v>
      </c>
      <c r="C39" s="504">
        <f>SUM('3a.számú melléklet'!C39+'3b.számú melléklet'!C39+'3c.számú melléklet'!C39+'3d.számú melléklet'!C39+'3e.számú melléklet'!C39+'3f.számú melléklet'!C39+'3g.számú melléklet'!C39+'3h.számú melléklet'!C39)</f>
        <v>790246</v>
      </c>
      <c r="D39" s="504">
        <f>SUM('3a.számú melléklet'!D39+'3b.számú melléklet'!D39+'3c.számú melléklet'!D39+'3d.számú melléklet'!D39+'3e.számú melléklet'!D39+'3f.számú melléklet'!D39+'3g.számú melléklet'!D39+'3h.számú melléklet'!D39)</f>
        <v>791267</v>
      </c>
      <c r="E39" s="504">
        <f>SUM('3a.számú melléklet'!E39+'3b.számú melléklet'!E39+'3c.számú melléklet'!E39+'3d.számú melléklet'!E39+'3e.számú melléklet'!E39+'3f.számú melléklet'!E39+'3g.számú melléklet'!E39+'3h.számú melléklet'!E39)</f>
        <v>725</v>
      </c>
      <c r="F39" s="504">
        <f>SUM('3a.számú melléklet'!F39+'3b.számú melléklet'!F39+'3c.számú melléklet'!F39+'3d.számú melléklet'!F39+'3e.számú melléklet'!F39+'3f.számú melléklet'!F39+'3g.számú melléklet'!F39+'3h.számú melléklet'!F39)</f>
        <v>791992</v>
      </c>
    </row>
    <row r="40" spans="1:6" s="33" customFormat="1" ht="12" customHeight="1">
      <c r="A40" s="472"/>
      <c r="B40" s="776" t="s">
        <v>639</v>
      </c>
      <c r="C40" s="505">
        <f>SUM('3a.számú melléklet'!C40+'3b.számú melléklet'!C40+'3c.számú melléklet'!C40+'3d.számú melléklet'!C40+'3e.számú melléklet'!C40+'3f.számú melléklet'!C40+'3g.számú melléklet'!C40+'3h.számú melléklet'!C40)</f>
        <v>0</v>
      </c>
      <c r="D40" s="505">
        <f>SUM('3a.számú melléklet'!D40+'3b.számú melléklet'!D40+'3c.számú melléklet'!D40+'3d.számú melléklet'!D40+'3e.számú melléklet'!D40+'3f.számú melléklet'!D40+'3g.számú melléklet'!D40+'3h.számú melléklet'!D40)</f>
        <v>0</v>
      </c>
      <c r="E40" s="505">
        <f>SUM('3a.számú melléklet'!E40+'3b.számú melléklet'!E40+'3c.számú melléklet'!E40+'3d.számú melléklet'!E40+'3e.számú melléklet'!E40+'3f.számú melléklet'!E40+'3g.számú melléklet'!E40+'3h.számú melléklet'!E40)</f>
        <v>0</v>
      </c>
      <c r="F40" s="505">
        <f>SUM('3a.számú melléklet'!F40+'3b.számú melléklet'!F40+'3c.számú melléklet'!F40+'3d.számú melléklet'!F40+'3e.számú melléklet'!F40+'3f.számú melléklet'!F40+'3g.számú melléklet'!F40+'3h.számú melléklet'!F40)</f>
        <v>0</v>
      </c>
    </row>
    <row r="41" spans="1:6" s="33" customFormat="1" ht="24" customHeight="1">
      <c r="A41" s="763" t="s">
        <v>98</v>
      </c>
      <c r="B41" s="764" t="s">
        <v>320</v>
      </c>
      <c r="C41" s="765">
        <f>SUM('3a.számú melléklet'!C41+'3b.számú melléklet'!C41+'3c.számú melléklet'!C41+'3d.számú melléklet'!C41+'3e.számú melléklet'!C41+'3f.számú melléklet'!C41+'3g.számú melléklet'!C41+'3h.számú melléklet'!C41)</f>
        <v>251</v>
      </c>
      <c r="D41" s="765">
        <f>SUM('3a.számú melléklet'!D41+'3b.számú melléklet'!D41+'3c.számú melléklet'!D41+'3d.számú melléklet'!D41+'3e.számú melléklet'!D41+'3f.számú melléklet'!D41+'3g.számú melléklet'!D41+'3h.számú melléklet'!D41)</f>
        <v>2826</v>
      </c>
      <c r="E41" s="765">
        <f>SUM('3a.számú melléklet'!E41+'3b.számú melléklet'!E41+'3c.számú melléklet'!E41+'3d.számú melléklet'!E41+'3e.számú melléklet'!E41+'3f.számú melléklet'!E41+'3g.számú melléklet'!E41+'3h.számú melléklet'!E41)</f>
        <v>1707</v>
      </c>
      <c r="F41" s="765">
        <f>SUM('3a.számú melléklet'!F41+'3b.számú melléklet'!F41+'3c.számú melléklet'!F41+'3d.számú melléklet'!F41+'3e.számú melléklet'!F41+'3f.számú melléklet'!F41+'3g.számú melléklet'!F41+'3h.számú melléklet'!F41)</f>
        <v>4533</v>
      </c>
    </row>
    <row r="42" spans="1:6" s="33" customFormat="1" ht="12" customHeight="1">
      <c r="A42" s="931" t="s">
        <v>99</v>
      </c>
      <c r="B42" s="775" t="s">
        <v>207</v>
      </c>
      <c r="C42" s="504">
        <f>SUM('3a.számú melléklet'!C42+'3b.számú melléklet'!C42+'3c.számú melléklet'!C42+'3d.számú melléklet'!C42+'3e.számú melléklet'!C42+'3f.számú melléklet'!C42+'3g.számú melléklet'!C42+'3h.számú melléklet'!C42)</f>
        <v>0</v>
      </c>
      <c r="D42" s="504">
        <f>SUM('3a.számú melléklet'!D42+'3b.számú melléklet'!D42+'3c.számú melléklet'!D42+'3d.számú melléklet'!D42+'3e.számú melléklet'!D42+'3f.számú melléklet'!D42+'3g.számú melléklet'!D42+'3h.számú melléklet'!D42)</f>
        <v>0</v>
      </c>
      <c r="E42" s="504">
        <f>SUM('3a.számú melléklet'!E42+'3b.számú melléklet'!E42+'3c.számú melléklet'!E42+'3d.számú melléklet'!E42+'3e.számú melléklet'!E42+'3f.számú melléklet'!E42+'3g.számú melléklet'!E42+'3h.számú melléklet'!E42)</f>
        <v>0</v>
      </c>
      <c r="F42" s="504">
        <f>SUM('3a.számú melléklet'!F42+'3b.számú melléklet'!F42+'3c.számú melléklet'!F42+'3d.számú melléklet'!F42+'3e.számú melléklet'!F42+'3f.számú melléklet'!F42+'3g.számú melléklet'!F42+'3h.számú melléklet'!F42)</f>
        <v>0</v>
      </c>
    </row>
    <row r="43" spans="1:6" s="33" customFormat="1" ht="12" customHeight="1">
      <c r="A43" s="932"/>
      <c r="B43" s="776" t="s">
        <v>639</v>
      </c>
      <c r="C43" s="505">
        <f>SUM('3a.számú melléklet'!C43+'3b.számú melléklet'!C43+'3c.számú melléklet'!C43+'3d.számú melléklet'!C43+'3e.számú melléklet'!C43+'3f.számú melléklet'!C43+'3g.számú melléklet'!C43+'3h.számú melléklet'!C43)</f>
        <v>0</v>
      </c>
      <c r="D43" s="505">
        <f>SUM('3a.számú melléklet'!D43+'3b.számú melléklet'!D43+'3c.számú melléklet'!D43+'3d.számú melléklet'!D43+'3e.számú melléklet'!D43+'3f.számú melléklet'!D43+'3g.számú melléklet'!D43+'3h.számú melléklet'!D43)</f>
        <v>0</v>
      </c>
      <c r="E43" s="505">
        <f>SUM('3a.számú melléklet'!E43+'3b.számú melléklet'!E43+'3c.számú melléklet'!E43+'3d.számú melléklet'!E43+'3e.számú melléklet'!E43+'3f.számú melléklet'!E43+'3g.számú melléklet'!E43+'3h.számú melléklet'!E43)</f>
        <v>0</v>
      </c>
      <c r="F43" s="505">
        <f>SUM('3a.számú melléklet'!F43+'3b.számú melléklet'!F43+'3c.számú melléklet'!F43+'3d.számú melléklet'!F43+'3e.számú melléklet'!F43+'3f.számú melléklet'!F43+'3g.számú melléklet'!F43+'3h.számú melléklet'!F43)</f>
        <v>0</v>
      </c>
    </row>
    <row r="44" spans="1:6" s="33" customFormat="1" ht="24" customHeight="1">
      <c r="A44" s="472" t="s">
        <v>100</v>
      </c>
      <c r="B44" s="761" t="s">
        <v>487</v>
      </c>
      <c r="C44" s="505">
        <f>SUM('3a.számú melléklet'!C44+'3b.számú melléklet'!C44+'3c.számú melléklet'!C44+'3d.számú melléklet'!C44+'3e.számú melléklet'!C44+'3f.számú melléklet'!C44+'3g.számú melléklet'!C44+'3h.számú melléklet'!C44)</f>
        <v>0</v>
      </c>
      <c r="D44" s="505">
        <f>SUM('3a.számú melléklet'!D44+'3b.számú melléklet'!D44+'3c.számú melléklet'!D44+'3d.számú melléklet'!D44+'3e.számú melléklet'!D44+'3f.számú melléklet'!D44+'3g.számú melléklet'!D44+'3h.számú melléklet'!D44)</f>
        <v>3128</v>
      </c>
      <c r="E44" s="505">
        <f>SUM('3a.számú melléklet'!E44+'3b.számú melléklet'!E44+'3c.számú melléklet'!E44+'3d.számú melléklet'!E44+'3e.számú melléklet'!E44+'3f.számú melléklet'!E44+'3g.számú melléklet'!E44+'3h.számú melléklet'!E44)</f>
        <v>-681</v>
      </c>
      <c r="F44" s="505">
        <f>SUM('3a.számú melléklet'!F44+'3b.számú melléklet'!F44+'3c.számú melléklet'!F44+'3d.számú melléklet'!F44+'3e.számú melléklet'!F44+'3f.számú melléklet'!F44+'3g.számú melléklet'!F44+'3h.számú melléklet'!F44)</f>
        <v>2447</v>
      </c>
    </row>
    <row r="45" spans="1:6" s="33" customFormat="1" ht="12" customHeight="1">
      <c r="A45" s="150" t="s">
        <v>101</v>
      </c>
      <c r="B45" s="35" t="s">
        <v>366</v>
      </c>
      <c r="C45" s="503">
        <f>SUM('3a.számú melléklet'!C45+'3b.számú melléklet'!C45+'3c.számú melléklet'!C45+'3d.számú melléklet'!C45+'3e.számú melléklet'!C45+'3f.számú melléklet'!C45+'3g.számú melléklet'!C45+'3h.számú melléklet'!C45)</f>
        <v>0</v>
      </c>
      <c r="D45" s="503">
        <f>SUM('3a.számú melléklet'!D45+'3b.számú melléklet'!D45+'3c.számú melléklet'!D45+'3d.számú melléklet'!D45+'3e.számú melléklet'!D45+'3f.számú melléklet'!D45+'3g.számú melléklet'!D45+'3h.számú melléklet'!D45)</f>
        <v>0</v>
      </c>
      <c r="E45" s="503">
        <f>SUM('3a.számú melléklet'!E45+'3b.számú melléklet'!E45+'3c.számú melléklet'!E45+'3d.számú melléklet'!E45+'3e.számú melléklet'!E45+'3f.számú melléklet'!E45+'3g.számú melléklet'!E45+'3h.számú melléklet'!E45)</f>
        <v>0</v>
      </c>
      <c r="F45" s="503">
        <f>SUM('3a.számú melléklet'!F45+'3b.számú melléklet'!F45+'3c.számú melléklet'!F45+'3d.számú melléklet'!F45+'3e.számú melléklet'!F45+'3f.számú melléklet'!F45+'3g.számú melléklet'!F45+'3h.számú melléklet'!F45)</f>
        <v>0</v>
      </c>
    </row>
    <row r="46" spans="1:6" s="33" customFormat="1" ht="12" customHeight="1">
      <c r="A46" s="150" t="s">
        <v>102</v>
      </c>
      <c r="B46" s="35" t="s">
        <v>367</v>
      </c>
      <c r="C46" s="503">
        <f>SUM('3a.számú melléklet'!C46+'3b.számú melléklet'!C46+'3c.számú melléklet'!C46+'3d.számú melléklet'!C46+'3e.számú melléklet'!C46+'3f.számú melléklet'!C46+'3g.számú melléklet'!C46+'3h.számú melléklet'!C46)</f>
        <v>0</v>
      </c>
      <c r="D46" s="503">
        <f>SUM('3a.számú melléklet'!D46+'3b.számú melléklet'!D46+'3c.számú melléklet'!D46+'3d.számú melléklet'!D46+'3e.számú melléklet'!D46+'3f.számú melléklet'!D46+'3g.számú melléklet'!D46+'3h.számú melléklet'!D46)</f>
        <v>646977</v>
      </c>
      <c r="E46" s="503">
        <f>SUM('3a.számú melléklet'!E46+'3b.számú melléklet'!E46+'3c.számú melléklet'!E46+'3d.számú melléklet'!E46+'3e.számú melléklet'!E46+'3f.számú melléklet'!E46+'3g.számú melléklet'!E46+'3h.számú melléklet'!E46)</f>
        <v>0</v>
      </c>
      <c r="F46" s="503">
        <f>SUM('3a.számú melléklet'!F46+'3b.számú melléklet'!F46+'3c.számú melléklet'!F46+'3d.számú melléklet'!F46+'3e.számú melléklet'!F46+'3f.számú melléklet'!F46+'3g.számú melléklet'!F46+'3h.számú melléklet'!F46)</f>
        <v>646977</v>
      </c>
    </row>
    <row r="47" spans="1:6" s="531" customFormat="1" ht="12" customHeight="1">
      <c r="A47" s="529"/>
      <c r="B47" s="530" t="s">
        <v>133</v>
      </c>
      <c r="C47" s="435">
        <f>SUM('3a.számú melléklet'!C47+'3b.számú melléklet'!C47+'3c.számú melléklet'!C47+'3d.számú melléklet'!C47+'3e.számú melléklet'!C47+'3f.számú melléklet'!C47+'3g.számú melléklet'!C47+'3h.számú melléklet'!C47)</f>
        <v>1277899</v>
      </c>
      <c r="D47" s="435">
        <f>SUM('3a.számú melléklet'!D47+'3b.számú melléklet'!D47+'3c.számú melléklet'!D47+'3d.számú melléklet'!D47+'3e.számú melléklet'!D47+'3f.számú melléklet'!D47+'3g.számú melléklet'!D47+'3h.számú melléklet'!D47)</f>
        <v>1931600</v>
      </c>
      <c r="E47" s="435">
        <f>SUM('3a.számú melléklet'!E47+'3b.számú melléklet'!E47+'3c.számú melléklet'!E47+'3d.számú melléklet'!E47+'3e.számú melléklet'!E47+'3f.számú melléklet'!E47+'3g.számú melléklet'!E47+'3h.számú melléklet'!E47)</f>
        <v>1751</v>
      </c>
      <c r="F47" s="435">
        <f>SUM('3a.számú melléklet'!F47+'3b.számú melléklet'!F47+'3c.számú melléklet'!F47+'3d.számú melléklet'!F47+'3e.számú melléklet'!F47+'3f.számú melléklet'!F47+'3g.számú melléklet'!F47+'3h.számú melléklet'!F47)</f>
        <v>1933351</v>
      </c>
    </row>
    <row r="48" spans="1:6" s="533" customFormat="1" ht="13.5">
      <c r="A48" s="534" t="s">
        <v>103</v>
      </c>
      <c r="B48" s="530" t="s">
        <v>423</v>
      </c>
      <c r="C48" s="435">
        <f>SUM('3a.számú melléklet'!C48+'3b.számú melléklet'!C48+'3c.számú melléklet'!C48+'3d.számú melléklet'!C48+'3e.számú melléklet'!C48+'3f.számú melléklet'!C48+'3g.számú melléklet'!C48+'3h.számú melléklet'!C48)</f>
        <v>7528303</v>
      </c>
      <c r="D48" s="435">
        <f>SUM('3a.számú melléklet'!D48+'3b.számú melléklet'!D48+'3c.számú melléklet'!D48+'3d.számú melléklet'!D48+'3e.számú melléklet'!D48+'3f.számú melléklet'!D48+'3g.számú melléklet'!D48+'3h.számú melléklet'!D48)</f>
        <v>8322090</v>
      </c>
      <c r="E48" s="435">
        <f>SUM('3a.számú melléklet'!E48+'3b.számú melléklet'!E48+'3c.számú melléklet'!E48+'3d.számú melléklet'!E48+'3e.számú melléklet'!E48+'3f.számú melléklet'!E48+'3g.számú melléklet'!E48+'3h.számú melléklet'!E48)</f>
        <v>50956</v>
      </c>
      <c r="F48" s="435">
        <f>SUM('3a.számú melléklet'!F48+'3b.számú melléklet'!F48+'3c.számú melléklet'!F48+'3d.számú melléklet'!F48+'3e.számú melléklet'!F48+'3f.számú melléklet'!F48+'3g.számú melléklet'!F48+'3h.számú melléklet'!F48)</f>
        <v>8373046</v>
      </c>
    </row>
    <row r="49" spans="1:6" ht="12.75">
      <c r="A49" s="373"/>
      <c r="B49" s="446" t="s">
        <v>211</v>
      </c>
      <c r="C49" s="503">
        <f>SUM('3a.számú melléklet'!C49+'3b.számú melléklet'!C49+'3c.számú melléklet'!C49+'3d.számú melléklet'!C49+'3e.számú melléklet'!C49+'3f.számú melléklet'!C49+'3g.számú melléklet'!C49+'3h.számú melléklet'!C49)</f>
        <v>2805809</v>
      </c>
      <c r="D49" s="503">
        <f>SUM('3a.számú melléklet'!D49+'3b.számú melléklet'!D49+'3c.számú melléklet'!D49+'3d.számú melléklet'!D49+'3e.számú melléklet'!D49+'3f.számú melléklet'!D49+'3g.számú melléklet'!D49+'3h.számú melléklet'!D49)</f>
        <v>2805809</v>
      </c>
      <c r="E49" s="503">
        <f>SUM('3a.számú melléklet'!E49+'3b.számú melléklet'!E49+'3c.számú melléklet'!E49+'3d.számú melléklet'!E49+'3e.számú melléklet'!E49+'3f.számú melléklet'!E49+'3g.számú melléklet'!E49+'3h.számú melléklet'!E49)</f>
        <v>59221</v>
      </c>
      <c r="F49" s="503">
        <f>SUM('3a.számú melléklet'!F49+'3b.számú melléklet'!F49+'3c.számú melléklet'!F49+'3d.számú melléklet'!F49+'3e.számú melléklet'!F49+'3f.számú melléklet'!F49+'3g.számú melléklet'!F49+'3h.számú melléklet'!F49)</f>
        <v>2865030</v>
      </c>
    </row>
    <row r="50" spans="1:6" ht="12.75">
      <c r="A50" s="373"/>
      <c r="B50" s="506" t="s">
        <v>461</v>
      </c>
      <c r="C50" s="503">
        <f>SUM('3a.számú melléklet'!C50+'3b.számú melléklet'!C50+'3c.számú melléklet'!C50+'3d.számú melléklet'!C50+'3e.számú melléklet'!C50+'3f.számú melléklet'!C50+'3g.számú melléklet'!C50+'3h.számú melléklet'!C50)</f>
        <v>54060</v>
      </c>
      <c r="D50" s="503">
        <f>SUM('3a.számú melléklet'!D50+'3b.számú melléklet'!D50+'3c.számú melléklet'!D50+'3d.számú melléklet'!D50+'3e.számú melléklet'!D50+'3f.számú melléklet'!D50+'3g.számú melléklet'!D50+'3h.számú melléklet'!D50)</f>
        <v>54060</v>
      </c>
      <c r="E50" s="503">
        <f>SUM('3a.számú melléklet'!E50+'3b.számú melléklet'!E50+'3c.számú melléklet'!E50+'3d.számú melléklet'!E50+'3e.számú melléklet'!E50+'3f.számú melléklet'!E50+'3g.számú melléklet'!E50+'3h.számú melléklet'!E50)</f>
        <v>13402</v>
      </c>
      <c r="F50" s="503">
        <f>SUM('3a.számú melléklet'!F50+'3b.számú melléklet'!F50+'3c.számú melléklet'!F50+'3d.számú melléklet'!F50+'3e.számú melléklet'!F50+'3f.számú melléklet'!F50+'3g.számú melléklet'!F50+'3h.számú melléklet'!F50)</f>
        <v>67462</v>
      </c>
    </row>
    <row r="51" spans="1:6" s="420" customFormat="1" ht="15.75">
      <c r="A51" s="418"/>
      <c r="B51" s="451" t="s">
        <v>113</v>
      </c>
      <c r="C51" s="421">
        <f>SUM('3a.számú melléklet'!C51+'3b.számú melléklet'!C51+'3c.számú melléklet'!C51+'3d.számú melléklet'!C51+'3e.számú melléklet'!C51+'3f.számú melléklet'!C51+'3g.számú melléklet'!C51+'3h.számú melléklet'!C51)</f>
        <v>8806202</v>
      </c>
      <c r="D51" s="421">
        <f>SUM('3a.számú melléklet'!D51+'3b.számú melléklet'!D51+'3c.számú melléklet'!D51+'3d.számú melléklet'!D51+'3e.számú melléklet'!D51+'3f.számú melléklet'!D51+'3g.számú melléklet'!D51+'3h.számú melléklet'!D51)</f>
        <v>10253690</v>
      </c>
      <c r="E51" s="421">
        <f>SUM('3a.számú melléklet'!E51+'3b.számú melléklet'!E51+'3c.számú melléklet'!E51+'3d.számú melléklet'!E51+'3e.számú melléklet'!E51+'3f.számú melléklet'!E51+'3g.számú melléklet'!E51+'3h.számú melléklet'!E51)</f>
        <v>52707</v>
      </c>
      <c r="F51" s="421">
        <f>SUM('3a.számú melléklet'!F51+'3b.számú melléklet'!F51+'3c.számú melléklet'!F51+'3d.számú melléklet'!F51+'3e.számú melléklet'!F51+'3f.számú melléklet'!F51+'3g.számú melléklet'!F51+'3h.számú melléklet'!F51)</f>
        <v>10306397</v>
      </c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  <oddFooter>&amp;L&amp;"Times New Roman CE,Normál"&amp;8&amp;F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F51"/>
  <sheetViews>
    <sheetView workbookViewId="0" topLeftCell="A1">
      <selection activeCell="F6" sqref="F6"/>
    </sheetView>
  </sheetViews>
  <sheetFormatPr defaultColWidth="9.140625" defaultRowHeight="12.75"/>
  <cols>
    <col min="1" max="1" width="4.28125" style="8" customWidth="1"/>
    <col min="2" max="2" width="38.28125" style="10" customWidth="1"/>
    <col min="3" max="3" width="10.421875" style="9" customWidth="1"/>
    <col min="4" max="4" width="10.8515625" style="9" customWidth="1"/>
    <col min="5" max="5" width="9.140625" style="540" customWidth="1"/>
    <col min="6" max="6" width="12.00390625" style="667" customWidth="1"/>
    <col min="7" max="16384" width="8.8515625" style="3" customWidth="1"/>
  </cols>
  <sheetData>
    <row r="1" spans="1:6" ht="18.75">
      <c r="A1" s="933" t="s">
        <v>130</v>
      </c>
      <c r="B1" s="936"/>
      <c r="C1" s="936"/>
      <c r="D1" s="936"/>
      <c r="E1" s="936"/>
      <c r="F1" s="936"/>
    </row>
    <row r="2" spans="1:6" ht="18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63</v>
      </c>
      <c r="B4" s="936"/>
      <c r="C4" s="936"/>
      <c r="D4" s="936"/>
      <c r="E4" s="936"/>
      <c r="F4" s="936"/>
    </row>
    <row r="5" spans="2:6" ht="13.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35">
        <v>1506</v>
      </c>
      <c r="D8" s="535">
        <v>1506</v>
      </c>
      <c r="E8" s="535">
        <v>-6</v>
      </c>
      <c r="F8" s="689">
        <f>SUM(D8:E8)</f>
        <v>1500</v>
      </c>
    </row>
    <row r="9" spans="1:6" s="33" customFormat="1" ht="12" customHeight="1">
      <c r="A9" s="159"/>
      <c r="B9" s="64" t="s">
        <v>59</v>
      </c>
      <c r="C9" s="536"/>
      <c r="D9" s="536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29">
        <v>3411463</v>
      </c>
      <c r="D10" s="29">
        <v>3631379</v>
      </c>
      <c r="E10" s="29">
        <v>-1633</v>
      </c>
      <c r="F10" s="660">
        <f>SUM(D10:E10)</f>
        <v>3629746</v>
      </c>
    </row>
    <row r="11" spans="1:6" s="7" customFormat="1" ht="12" customHeight="1">
      <c r="A11" s="187" t="s">
        <v>248</v>
      </c>
      <c r="B11" s="449" t="s">
        <v>61</v>
      </c>
      <c r="C11" s="29">
        <f>SUM(C12:C15)</f>
        <v>1092675</v>
      </c>
      <c r="D11" s="29">
        <f>SUM(D12:D15)</f>
        <v>1157607</v>
      </c>
      <c r="E11" s="29">
        <f>SUM(E12:E15)</f>
        <v>-299</v>
      </c>
      <c r="F11" s="660">
        <f aca="true" t="shared" si="0" ref="F11:F16">SUM(D11:E11)</f>
        <v>1157308</v>
      </c>
    </row>
    <row r="12" spans="1:6" s="7" customFormat="1" ht="12" customHeight="1">
      <c r="A12" s="187"/>
      <c r="B12" s="445" t="s">
        <v>375</v>
      </c>
      <c r="C12" s="29">
        <v>954130</v>
      </c>
      <c r="D12" s="29">
        <v>1013099</v>
      </c>
      <c r="E12" s="29">
        <v>-271</v>
      </c>
      <c r="F12" s="660">
        <f t="shared" si="0"/>
        <v>1012828</v>
      </c>
    </row>
    <row r="13" spans="1:6" s="7" customFormat="1" ht="12" customHeight="1">
      <c r="A13" s="187"/>
      <c r="B13" s="445" t="s">
        <v>212</v>
      </c>
      <c r="C13" s="29">
        <v>98706</v>
      </c>
      <c r="D13" s="29">
        <v>104669</v>
      </c>
      <c r="E13" s="29">
        <v>-28</v>
      </c>
      <c r="F13" s="660">
        <f t="shared" si="0"/>
        <v>104641</v>
      </c>
    </row>
    <row r="14" spans="1:6" s="7" customFormat="1" ht="12" customHeight="1">
      <c r="A14" s="187"/>
      <c r="B14" s="445" t="s">
        <v>213</v>
      </c>
      <c r="C14" s="29">
        <v>32300</v>
      </c>
      <c r="D14" s="29">
        <v>32300</v>
      </c>
      <c r="E14" s="29">
        <v>0</v>
      </c>
      <c r="F14" s="660">
        <f t="shared" si="0"/>
        <v>32300</v>
      </c>
    </row>
    <row r="15" spans="1:6" s="7" customFormat="1" ht="12" customHeight="1">
      <c r="A15" s="187"/>
      <c r="B15" s="445" t="s">
        <v>374</v>
      </c>
      <c r="C15" s="29">
        <v>7539</v>
      </c>
      <c r="D15" s="29">
        <v>7539</v>
      </c>
      <c r="E15" s="29">
        <v>0</v>
      </c>
      <c r="F15" s="660">
        <f t="shared" si="0"/>
        <v>7539</v>
      </c>
    </row>
    <row r="16" spans="1:6" s="7" customFormat="1" ht="12" customHeight="1">
      <c r="A16" s="187" t="s">
        <v>249</v>
      </c>
      <c r="B16" s="448" t="s">
        <v>62</v>
      </c>
      <c r="C16" s="29">
        <v>1232341</v>
      </c>
      <c r="D16" s="29">
        <v>1520052</v>
      </c>
      <c r="E16" s="29">
        <v>-157406</v>
      </c>
      <c r="F16" s="660">
        <f t="shared" si="0"/>
        <v>1362646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73688</v>
      </c>
      <c r="F17" s="769">
        <f aca="true" t="shared" si="1" ref="F17:F25">SUM(D17:E17)</f>
        <v>73688</v>
      </c>
    </row>
    <row r="18" spans="1:6" s="7" customFormat="1" ht="12" customHeight="1">
      <c r="A18" s="755"/>
      <c r="B18" s="731" t="s">
        <v>471</v>
      </c>
      <c r="C18" s="471">
        <v>0</v>
      </c>
      <c r="D18" s="471">
        <v>0</v>
      </c>
      <c r="E18" s="471">
        <v>73688</v>
      </c>
      <c r="F18" s="663">
        <f t="shared" si="1"/>
        <v>73688</v>
      </c>
    </row>
    <row r="19" spans="1:6" s="7" customFormat="1" ht="12" customHeight="1">
      <c r="A19" s="756"/>
      <c r="B19" s="747" t="s">
        <v>639</v>
      </c>
      <c r="C19" s="474">
        <v>0</v>
      </c>
      <c r="D19" s="474">
        <v>0</v>
      </c>
      <c r="E19" s="474">
        <v>73688</v>
      </c>
      <c r="F19" s="664">
        <f>SUM(D19:E19)</f>
        <v>73688</v>
      </c>
    </row>
    <row r="20" spans="1:6" s="7" customFormat="1" ht="24" customHeight="1">
      <c r="A20" s="756"/>
      <c r="B20" s="732" t="s">
        <v>472</v>
      </c>
      <c r="C20" s="474">
        <v>0</v>
      </c>
      <c r="D20" s="474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29">
        <v>0</v>
      </c>
      <c r="D21" s="29">
        <v>462</v>
      </c>
      <c r="E21" s="29">
        <v>0</v>
      </c>
      <c r="F21" s="660">
        <f t="shared" si="1"/>
        <v>462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5736479</v>
      </c>
      <c r="D22" s="500">
        <f>SUM(D10,D11,D16,D17,D21)</f>
        <v>6309500</v>
      </c>
      <c r="E22" s="500">
        <f>SUM(E10,E11,E16,E17,E21)</f>
        <v>-85650</v>
      </c>
      <c r="F22" s="661">
        <f t="shared" si="1"/>
        <v>6223850</v>
      </c>
    </row>
    <row r="23" spans="1:6" s="7" customFormat="1" ht="12" customHeight="1">
      <c r="A23" s="187" t="s">
        <v>97</v>
      </c>
      <c r="B23" s="448" t="s">
        <v>214</v>
      </c>
      <c r="C23" s="29">
        <v>5000</v>
      </c>
      <c r="D23" s="29">
        <v>360054</v>
      </c>
      <c r="E23" s="29">
        <v>33545</v>
      </c>
      <c r="F23" s="660">
        <f t="shared" si="1"/>
        <v>393599</v>
      </c>
    </row>
    <row r="24" spans="1:6" s="7" customFormat="1" ht="12" customHeight="1">
      <c r="A24" s="187" t="s">
        <v>98</v>
      </c>
      <c r="B24" s="448" t="s">
        <v>217</v>
      </c>
      <c r="C24" s="29">
        <v>0</v>
      </c>
      <c r="D24" s="29">
        <v>27716</v>
      </c>
      <c r="E24" s="29">
        <v>4810</v>
      </c>
      <c r="F24" s="660">
        <f t="shared" si="1"/>
        <v>32526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69040</v>
      </c>
      <c r="F25" s="668">
        <f t="shared" si="1"/>
        <v>69040</v>
      </c>
    </row>
    <row r="26" spans="1:6" s="7" customFormat="1" ht="12" customHeight="1" hidden="1">
      <c r="A26" s="755"/>
      <c r="B26" s="759"/>
      <c r="C26" s="471"/>
      <c r="D26" s="471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471">
        <v>0</v>
      </c>
      <c r="D27" s="471">
        <v>0</v>
      </c>
      <c r="E27" s="471">
        <v>69040</v>
      </c>
      <c r="F27" s="663">
        <f>SUM(D27:E27)</f>
        <v>69040</v>
      </c>
    </row>
    <row r="28" spans="1:6" s="57" customFormat="1" ht="12" customHeight="1">
      <c r="A28" s="472"/>
      <c r="B28" s="747" t="s">
        <v>639</v>
      </c>
      <c r="C28" s="474">
        <v>0</v>
      </c>
      <c r="D28" s="474">
        <v>0</v>
      </c>
      <c r="E28" s="474">
        <v>69040</v>
      </c>
      <c r="F28" s="664">
        <f>SUM(D28:E28)</f>
        <v>69040</v>
      </c>
    </row>
    <row r="29" spans="1:6" s="57" customFormat="1" ht="24" customHeight="1">
      <c r="A29" s="472"/>
      <c r="B29" s="732" t="s">
        <v>475</v>
      </c>
      <c r="C29" s="474">
        <v>0</v>
      </c>
      <c r="D29" s="474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5000</v>
      </c>
      <c r="D30" s="498">
        <f>SUM(D23,D24,D25)</f>
        <v>387770</v>
      </c>
      <c r="E30" s="498">
        <f>SUM(E23,E24,E25)</f>
        <v>107395</v>
      </c>
      <c r="F30" s="661">
        <f>SUM(D30:E30)</f>
        <v>495165</v>
      </c>
    </row>
    <row r="31" spans="1:6" s="58" customFormat="1" ht="13.5" customHeight="1">
      <c r="A31" s="447"/>
      <c r="B31" s="454" t="s">
        <v>120</v>
      </c>
      <c r="C31" s="456">
        <f>SUM(C22,C23:C25)</f>
        <v>5741479</v>
      </c>
      <c r="D31" s="456">
        <f>SUM(D22,D23:D25)</f>
        <v>6697270</v>
      </c>
      <c r="E31" s="456">
        <f>SUM(E22,E23:E25)</f>
        <v>21745</v>
      </c>
      <c r="F31" s="662">
        <f>SUM(D31:E31)</f>
        <v>6719015</v>
      </c>
    </row>
    <row r="32" spans="1:6" s="33" customFormat="1" ht="12" customHeight="1">
      <c r="A32" s="159"/>
      <c r="B32" s="53" t="s">
        <v>378</v>
      </c>
      <c r="C32" s="29"/>
      <c r="D32" s="29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29">
        <v>0</v>
      </c>
      <c r="D33" s="29"/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471">
        <v>239466</v>
      </c>
      <c r="D34" s="669">
        <v>239466</v>
      </c>
      <c r="E34" s="669">
        <v>0</v>
      </c>
      <c r="F34" s="663">
        <f>SUM(D34:E34)</f>
        <v>239466</v>
      </c>
    </row>
    <row r="35" spans="1:6" s="33" customFormat="1" ht="12.75" customHeight="1">
      <c r="A35" s="472"/>
      <c r="B35" s="473" t="s">
        <v>458</v>
      </c>
      <c r="C35" s="474"/>
      <c r="D35" s="670"/>
      <c r="E35" s="670"/>
      <c r="F35" s="664"/>
    </row>
    <row r="36" spans="1:6" s="33" customFormat="1" ht="12" customHeight="1">
      <c r="A36" s="150" t="s">
        <v>249</v>
      </c>
      <c r="B36" s="35" t="s">
        <v>94</v>
      </c>
      <c r="C36" s="29">
        <v>7702</v>
      </c>
      <c r="D36" s="29">
        <v>7702</v>
      </c>
      <c r="E36" s="29">
        <v>0</v>
      </c>
      <c r="F36" s="664">
        <f aca="true" t="shared" si="2" ref="F36:F51">SUM(D36:E36)</f>
        <v>7702</v>
      </c>
    </row>
    <row r="37" spans="1:6" s="33" customFormat="1" ht="12" customHeight="1">
      <c r="A37" s="150" t="s">
        <v>95</v>
      </c>
      <c r="B37" s="35" t="s">
        <v>421</v>
      </c>
      <c r="C37" s="29">
        <v>32254</v>
      </c>
      <c r="D37" s="29">
        <v>32254</v>
      </c>
      <c r="E37" s="29">
        <v>0</v>
      </c>
      <c r="F37" s="664">
        <f t="shared" si="2"/>
        <v>32254</v>
      </c>
    </row>
    <row r="38" spans="1:6" s="33" customFormat="1" ht="12" customHeight="1">
      <c r="A38" s="469" t="s">
        <v>96</v>
      </c>
      <c r="B38" s="760" t="s">
        <v>297</v>
      </c>
      <c r="C38" s="471">
        <v>49</v>
      </c>
      <c r="D38" s="471">
        <v>49</v>
      </c>
      <c r="E38" s="471">
        <v>0</v>
      </c>
      <c r="F38" s="771">
        <f t="shared" si="2"/>
        <v>49</v>
      </c>
    </row>
    <row r="39" spans="1:6" s="33" customFormat="1" ht="25.5" customHeight="1">
      <c r="A39" s="469" t="s">
        <v>97</v>
      </c>
      <c r="B39" s="762" t="s">
        <v>205</v>
      </c>
      <c r="C39" s="471">
        <v>0</v>
      </c>
      <c r="D39" s="471">
        <v>1021</v>
      </c>
      <c r="E39" s="669">
        <v>0</v>
      </c>
      <c r="F39" s="663">
        <f t="shared" si="2"/>
        <v>1021</v>
      </c>
    </row>
    <row r="40" spans="1:6" s="33" customFormat="1" ht="12" customHeight="1">
      <c r="A40" s="472"/>
      <c r="B40" s="761" t="s">
        <v>639</v>
      </c>
      <c r="C40" s="474">
        <v>0</v>
      </c>
      <c r="D40" s="474">
        <v>0</v>
      </c>
      <c r="E40" s="670">
        <v>0</v>
      </c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3">
        <v>0</v>
      </c>
      <c r="D41" s="773">
        <v>2575</v>
      </c>
      <c r="E41" s="773">
        <v>681</v>
      </c>
      <c r="F41" s="771">
        <f t="shared" si="2"/>
        <v>3256</v>
      </c>
    </row>
    <row r="42" spans="1:6" s="33" customFormat="1" ht="12" customHeight="1">
      <c r="A42" s="931" t="s">
        <v>99</v>
      </c>
      <c r="B42" s="762" t="s">
        <v>207</v>
      </c>
      <c r="C42" s="471">
        <v>0</v>
      </c>
      <c r="D42" s="47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61" t="s">
        <v>639</v>
      </c>
      <c r="C43" s="474">
        <v>0</v>
      </c>
      <c r="D43" s="474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474">
        <v>0</v>
      </c>
      <c r="D44" s="474">
        <v>3128</v>
      </c>
      <c r="E44" s="474">
        <v>-681</v>
      </c>
      <c r="F44" s="664">
        <f t="shared" si="2"/>
        <v>2447</v>
      </c>
    </row>
    <row r="45" spans="1:6" s="33" customFormat="1" ht="12" customHeight="1">
      <c r="A45" s="150" t="s">
        <v>101</v>
      </c>
      <c r="B45" s="35" t="s">
        <v>366</v>
      </c>
      <c r="C45" s="29">
        <v>0</v>
      </c>
      <c r="D45" s="2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29">
        <v>0</v>
      </c>
      <c r="D46" s="29">
        <v>448429</v>
      </c>
      <c r="E46" s="29">
        <v>0</v>
      </c>
      <c r="F46" s="660">
        <f t="shared" si="2"/>
        <v>448429</v>
      </c>
    </row>
    <row r="47" spans="1:6" s="531" customFormat="1" ht="12" customHeight="1">
      <c r="A47" s="529"/>
      <c r="B47" s="530" t="s">
        <v>133</v>
      </c>
      <c r="C47" s="498">
        <f>SUM(C33:C46)-C35-C40-C43</f>
        <v>279471</v>
      </c>
      <c r="D47" s="498">
        <f>SUM(D33:D46)-D35-D40-D43</f>
        <v>734624</v>
      </c>
      <c r="E47" s="498">
        <f>SUM(E33:E46)-E35-E40-E43</f>
        <v>0</v>
      </c>
      <c r="F47" s="661">
        <f t="shared" si="2"/>
        <v>734624</v>
      </c>
    </row>
    <row r="48" spans="1:6" s="533" customFormat="1" ht="13.5">
      <c r="A48" s="532" t="s">
        <v>103</v>
      </c>
      <c r="B48" s="530" t="s">
        <v>423</v>
      </c>
      <c r="C48" s="498">
        <v>5462008</v>
      </c>
      <c r="D48" s="498">
        <v>5962646</v>
      </c>
      <c r="E48" s="498">
        <v>21745</v>
      </c>
      <c r="F48" s="665">
        <f t="shared" si="2"/>
        <v>5984391</v>
      </c>
    </row>
    <row r="49" spans="1:6" s="509" customFormat="1" ht="12" customHeight="1">
      <c r="A49" s="494"/>
      <c r="B49" s="542" t="s">
        <v>211</v>
      </c>
      <c r="C49" s="538">
        <v>2080559</v>
      </c>
      <c r="D49" s="538">
        <v>2080559</v>
      </c>
      <c r="E49" s="538">
        <v>5307</v>
      </c>
      <c r="F49" s="663">
        <f t="shared" si="2"/>
        <v>2085866</v>
      </c>
    </row>
    <row r="50" spans="1:6" s="509" customFormat="1" ht="12" customHeight="1">
      <c r="A50" s="497"/>
      <c r="B50" s="543" t="s">
        <v>462</v>
      </c>
      <c r="C50" s="539">
        <v>54060</v>
      </c>
      <c r="D50" s="539">
        <v>54060</v>
      </c>
      <c r="E50" s="539">
        <v>10497</v>
      </c>
      <c r="F50" s="664">
        <f t="shared" si="2"/>
        <v>64557</v>
      </c>
    </row>
    <row r="51" spans="1:6" s="420" customFormat="1" ht="13.5" customHeight="1">
      <c r="A51" s="495"/>
      <c r="B51" s="451" t="s">
        <v>113</v>
      </c>
      <c r="C51" s="496">
        <f>SUM(C47,C48)</f>
        <v>5741479</v>
      </c>
      <c r="D51" s="496">
        <f>SUM(D47,D48)</f>
        <v>6697270</v>
      </c>
      <c r="E51" s="496">
        <f>SUM(E47,E48)</f>
        <v>21745</v>
      </c>
      <c r="F51" s="666">
        <f t="shared" si="2"/>
        <v>6719015</v>
      </c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CE,Normál"3/a.számú melléklet                
       </oddHeader>
    <oddFooter>&amp;L&amp;"Times New Roman CE,Normál"&amp;8&amp;F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22">
      <selection activeCell="F36" sqref="F36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10.28125" style="9" customWidth="1"/>
    <col min="4" max="4" width="11.00390625" style="9" customWidth="1"/>
    <col min="5" max="5" width="10.28125" style="540" customWidth="1"/>
    <col min="6" max="6" width="11.421875" style="3" customWidth="1"/>
    <col min="7" max="16384" width="8.8515625" style="3" customWidth="1"/>
  </cols>
  <sheetData>
    <row r="1" spans="1:6" ht="18.75">
      <c r="A1" s="933" t="s">
        <v>130</v>
      </c>
      <c r="B1" s="936"/>
      <c r="C1" s="936"/>
      <c r="D1" s="936"/>
      <c r="E1" s="936"/>
      <c r="F1" s="936"/>
    </row>
    <row r="2" spans="1:6" ht="20.25" customHeight="1">
      <c r="A2" s="935" t="s">
        <v>600</v>
      </c>
      <c r="B2" s="936"/>
      <c r="C2" s="936"/>
      <c r="D2" s="936"/>
      <c r="E2" s="936"/>
      <c r="F2" s="936"/>
    </row>
    <row r="3" spans="1:6" ht="15.75">
      <c r="A3" s="939" t="s">
        <v>123</v>
      </c>
      <c r="B3" s="936"/>
      <c r="C3" s="936"/>
      <c r="D3" s="936"/>
      <c r="E3" s="936"/>
      <c r="F3" s="936"/>
    </row>
    <row r="4" spans="1:6" ht="19.5">
      <c r="A4" s="940" t="s">
        <v>242</v>
      </c>
      <c r="B4" s="936"/>
      <c r="C4" s="936"/>
      <c r="D4" s="936"/>
      <c r="E4" s="936"/>
      <c r="F4" s="936"/>
    </row>
    <row r="5" spans="2:6" ht="10.5" customHeight="1">
      <c r="B5" s="4"/>
      <c r="C5" s="26"/>
      <c r="D5" s="26"/>
      <c r="E5" s="512"/>
      <c r="F5" s="621" t="s">
        <v>524</v>
      </c>
    </row>
    <row r="6" spans="1:6" s="344" customFormat="1" ht="39.75" customHeight="1">
      <c r="A6" s="284" t="s">
        <v>174</v>
      </c>
      <c r="B6" s="443" t="s">
        <v>525</v>
      </c>
      <c r="C6" s="440" t="s">
        <v>50</v>
      </c>
      <c r="D6" s="622" t="s">
        <v>636</v>
      </c>
      <c r="E6" s="541" t="s">
        <v>541</v>
      </c>
      <c r="F6" s="622" t="s">
        <v>679</v>
      </c>
    </row>
    <row r="7" spans="1:6" s="5" customFormat="1" ht="12" customHeight="1">
      <c r="A7" s="185" t="s">
        <v>247</v>
      </c>
      <c r="B7" s="442" t="s">
        <v>248</v>
      </c>
      <c r="C7" s="31" t="s">
        <v>249</v>
      </c>
      <c r="D7" s="31" t="s">
        <v>95</v>
      </c>
      <c r="E7" s="31" t="s">
        <v>96</v>
      </c>
      <c r="F7" s="31" t="s">
        <v>97</v>
      </c>
    </row>
    <row r="8" spans="1:6" s="6" customFormat="1" ht="12" customHeight="1">
      <c r="A8" s="186"/>
      <c r="B8" s="452" t="s">
        <v>105</v>
      </c>
      <c r="C8" s="544">
        <v>178.5</v>
      </c>
      <c r="D8" s="544">
        <v>178.5</v>
      </c>
      <c r="E8" s="535">
        <v>0</v>
      </c>
      <c r="F8" s="689">
        <f>SUM(D8:E8)</f>
        <v>178.5</v>
      </c>
    </row>
    <row r="9" spans="1:6" s="33" customFormat="1" ht="12" customHeight="1">
      <c r="A9" s="159"/>
      <c r="B9" s="64" t="s">
        <v>59</v>
      </c>
      <c r="C9" s="537"/>
      <c r="D9" s="537"/>
      <c r="E9" s="536"/>
      <c r="F9" s="425"/>
    </row>
    <row r="10" spans="1:6" s="7" customFormat="1" ht="12" customHeight="1">
      <c r="A10" s="187" t="s">
        <v>247</v>
      </c>
      <c r="B10" s="448" t="s">
        <v>60</v>
      </c>
      <c r="C10" s="499">
        <v>383301</v>
      </c>
      <c r="D10" s="499">
        <v>416775</v>
      </c>
      <c r="E10" s="29">
        <v>-762</v>
      </c>
      <c r="F10" s="660">
        <f>SUM(D10:E10)</f>
        <v>416013</v>
      </c>
    </row>
    <row r="11" spans="1:6" s="7" customFormat="1" ht="12" customHeight="1">
      <c r="A11" s="187" t="s">
        <v>248</v>
      </c>
      <c r="B11" s="449" t="s">
        <v>61</v>
      </c>
      <c r="C11" s="499">
        <f>SUM(C12:C15)</f>
        <v>121926</v>
      </c>
      <c r="D11" s="499">
        <f>SUM(D12:D15)</f>
        <v>133088</v>
      </c>
      <c r="E11" s="29">
        <f>SUM(E12:E15)</f>
        <v>-213</v>
      </c>
      <c r="F11" s="660">
        <f aca="true" t="shared" si="0" ref="F11:F16">SUM(D11:E11)</f>
        <v>132875</v>
      </c>
    </row>
    <row r="12" spans="1:6" s="7" customFormat="1" ht="12" customHeight="1">
      <c r="A12" s="187"/>
      <c r="B12" s="445" t="s">
        <v>375</v>
      </c>
      <c r="C12" s="499">
        <v>106767</v>
      </c>
      <c r="D12" s="499">
        <v>117099</v>
      </c>
      <c r="E12" s="29">
        <v>-222</v>
      </c>
      <c r="F12" s="660">
        <f t="shared" si="0"/>
        <v>116877</v>
      </c>
    </row>
    <row r="13" spans="1:6" s="7" customFormat="1" ht="12" customHeight="1">
      <c r="A13" s="187"/>
      <c r="B13" s="445" t="s">
        <v>212</v>
      </c>
      <c r="C13" s="499">
        <v>10021</v>
      </c>
      <c r="D13" s="499">
        <v>10814</v>
      </c>
      <c r="E13" s="29">
        <v>9</v>
      </c>
      <c r="F13" s="660">
        <f t="shared" si="0"/>
        <v>10823</v>
      </c>
    </row>
    <row r="14" spans="1:6" s="7" customFormat="1" ht="12" customHeight="1">
      <c r="A14" s="187"/>
      <c r="B14" s="445" t="s">
        <v>213</v>
      </c>
      <c r="C14" s="499">
        <v>3938</v>
      </c>
      <c r="D14" s="499">
        <v>3975</v>
      </c>
      <c r="E14" s="29">
        <v>0</v>
      </c>
      <c r="F14" s="660">
        <f t="shared" si="0"/>
        <v>3975</v>
      </c>
    </row>
    <row r="15" spans="1:6" s="7" customFormat="1" ht="12" customHeight="1">
      <c r="A15" s="187"/>
      <c r="B15" s="445" t="s">
        <v>374</v>
      </c>
      <c r="C15" s="499">
        <v>1200</v>
      </c>
      <c r="D15" s="499">
        <v>1200</v>
      </c>
      <c r="E15" s="29">
        <v>0</v>
      </c>
      <c r="F15" s="660">
        <f t="shared" si="0"/>
        <v>1200</v>
      </c>
    </row>
    <row r="16" spans="1:6" s="7" customFormat="1" ht="12" customHeight="1">
      <c r="A16" s="187" t="s">
        <v>249</v>
      </c>
      <c r="B16" s="448" t="s">
        <v>62</v>
      </c>
      <c r="C16" s="499">
        <v>115469</v>
      </c>
      <c r="D16" s="499">
        <v>141199</v>
      </c>
      <c r="E16" s="29">
        <v>-8613</v>
      </c>
      <c r="F16" s="660">
        <f t="shared" si="0"/>
        <v>132586</v>
      </c>
    </row>
    <row r="17" spans="1:6" s="6" customFormat="1" ht="24" customHeight="1">
      <c r="A17" s="766" t="s">
        <v>95</v>
      </c>
      <c r="B17" s="767" t="s">
        <v>209</v>
      </c>
      <c r="C17" s="768">
        <f>C18+C20</f>
        <v>0</v>
      </c>
      <c r="D17" s="768">
        <f>D18+D20</f>
        <v>0</v>
      </c>
      <c r="E17" s="768">
        <f>E18+E20</f>
        <v>11922</v>
      </c>
      <c r="F17" s="769">
        <f aca="true" t="shared" si="1" ref="F17:F25">SUM(D17:E17)</f>
        <v>11922</v>
      </c>
    </row>
    <row r="18" spans="1:6" s="7" customFormat="1" ht="12" customHeight="1">
      <c r="A18" s="755"/>
      <c r="B18" s="731" t="s">
        <v>471</v>
      </c>
      <c r="C18" s="501">
        <v>0</v>
      </c>
      <c r="D18" s="501">
        <v>0</v>
      </c>
      <c r="E18" s="471">
        <v>11922</v>
      </c>
      <c r="F18" s="663">
        <f t="shared" si="1"/>
        <v>11922</v>
      </c>
    </row>
    <row r="19" spans="1:6" s="7" customFormat="1" ht="12" customHeight="1">
      <c r="A19" s="756"/>
      <c r="B19" s="770" t="s">
        <v>639</v>
      </c>
      <c r="C19" s="502">
        <v>0</v>
      </c>
      <c r="D19" s="502">
        <v>0</v>
      </c>
      <c r="E19" s="474">
        <v>11922</v>
      </c>
      <c r="F19" s="664">
        <f>SUM(D19:E19)</f>
        <v>11922</v>
      </c>
    </row>
    <row r="20" spans="1:6" s="7" customFormat="1" ht="24" customHeight="1">
      <c r="A20" s="756"/>
      <c r="B20" s="732" t="s">
        <v>472</v>
      </c>
      <c r="C20" s="502">
        <v>0</v>
      </c>
      <c r="D20" s="502">
        <v>0</v>
      </c>
      <c r="E20" s="474">
        <v>0</v>
      </c>
      <c r="F20" s="664">
        <f t="shared" si="1"/>
        <v>0</v>
      </c>
    </row>
    <row r="21" spans="1:6" s="7" customFormat="1" ht="12" customHeight="1">
      <c r="A21" s="187" t="s">
        <v>96</v>
      </c>
      <c r="B21" s="448" t="s">
        <v>192</v>
      </c>
      <c r="C21" s="499">
        <v>0</v>
      </c>
      <c r="D21" s="499">
        <v>0</v>
      </c>
      <c r="E21" s="29">
        <v>0</v>
      </c>
      <c r="F21" s="660">
        <f t="shared" si="1"/>
        <v>0</v>
      </c>
    </row>
    <row r="22" spans="1:6" s="134" customFormat="1" ht="13.5">
      <c r="A22" s="159" t="s">
        <v>277</v>
      </c>
      <c r="B22" s="34" t="s">
        <v>376</v>
      </c>
      <c r="C22" s="500">
        <f>SUM(C10,C11,C16,C17,C21)</f>
        <v>620696</v>
      </c>
      <c r="D22" s="500">
        <f>SUM(D10,D11,D16,D17,D21)</f>
        <v>691062</v>
      </c>
      <c r="E22" s="500">
        <f>SUM(E10,E11,E16,E17,E21)</f>
        <v>2334</v>
      </c>
      <c r="F22" s="661">
        <f t="shared" si="1"/>
        <v>693396</v>
      </c>
    </row>
    <row r="23" spans="1:6" s="7" customFormat="1" ht="12" customHeight="1">
      <c r="A23" s="187" t="s">
        <v>97</v>
      </c>
      <c r="B23" s="448" t="s">
        <v>214</v>
      </c>
      <c r="C23" s="499">
        <v>0</v>
      </c>
      <c r="D23" s="499">
        <v>45640</v>
      </c>
      <c r="E23" s="29">
        <v>1682</v>
      </c>
      <c r="F23" s="660">
        <f t="shared" si="1"/>
        <v>47322</v>
      </c>
    </row>
    <row r="24" spans="1:6" s="7" customFormat="1" ht="12" customHeight="1">
      <c r="A24" s="187" t="s">
        <v>98</v>
      </c>
      <c r="B24" s="448" t="s">
        <v>217</v>
      </c>
      <c r="C24" s="499">
        <v>0</v>
      </c>
      <c r="D24" s="499">
        <v>3669</v>
      </c>
      <c r="E24" s="29">
        <v>1099</v>
      </c>
      <c r="F24" s="660">
        <f t="shared" si="1"/>
        <v>4768</v>
      </c>
    </row>
    <row r="25" spans="1:6" s="6" customFormat="1" ht="25.5" customHeight="1">
      <c r="A25" s="186" t="s">
        <v>99</v>
      </c>
      <c r="B25" s="464" t="s">
        <v>210</v>
      </c>
      <c r="C25" s="465">
        <f>C27+C29</f>
        <v>0</v>
      </c>
      <c r="D25" s="465">
        <f>D27+D29</f>
        <v>0</v>
      </c>
      <c r="E25" s="465">
        <f>E27+E29</f>
        <v>0</v>
      </c>
      <c r="F25" s="668">
        <f t="shared" si="1"/>
        <v>0</v>
      </c>
    </row>
    <row r="26" spans="1:6" s="7" customFormat="1" ht="12" customHeight="1" hidden="1">
      <c r="A26" s="755"/>
      <c r="B26" s="759"/>
      <c r="C26" s="501"/>
      <c r="D26" s="501"/>
      <c r="E26" s="471"/>
      <c r="F26" s="663">
        <f>SUM(C26:E26)</f>
        <v>0</v>
      </c>
    </row>
    <row r="27" spans="1:6" s="57" customFormat="1" ht="12" customHeight="1">
      <c r="A27" s="469"/>
      <c r="B27" s="731" t="s">
        <v>473</v>
      </c>
      <c r="C27" s="501">
        <v>0</v>
      </c>
      <c r="D27" s="501">
        <v>0</v>
      </c>
      <c r="E27" s="471">
        <v>0</v>
      </c>
      <c r="F27" s="663">
        <f>SUM(D27:E27)</f>
        <v>0</v>
      </c>
    </row>
    <row r="28" spans="1:6" s="57" customFormat="1" ht="12" customHeight="1">
      <c r="A28" s="472"/>
      <c r="B28" s="770" t="s">
        <v>639</v>
      </c>
      <c r="C28" s="502">
        <v>0</v>
      </c>
      <c r="D28" s="502">
        <v>0</v>
      </c>
      <c r="E28" s="474">
        <v>0</v>
      </c>
      <c r="F28" s="664">
        <f>SUM(D28:E28)</f>
        <v>0</v>
      </c>
    </row>
    <row r="29" spans="1:6" s="57" customFormat="1" ht="24" customHeight="1">
      <c r="A29" s="472"/>
      <c r="B29" s="732" t="s">
        <v>475</v>
      </c>
      <c r="C29" s="502">
        <v>0</v>
      </c>
      <c r="D29" s="502">
        <v>0</v>
      </c>
      <c r="E29" s="474">
        <v>0</v>
      </c>
      <c r="F29" s="664">
        <f>SUM(D29:E29)</f>
        <v>0</v>
      </c>
    </row>
    <row r="30" spans="1:6" s="33" customFormat="1" ht="12" customHeight="1">
      <c r="A30" s="159" t="s">
        <v>397</v>
      </c>
      <c r="B30" s="34" t="s">
        <v>377</v>
      </c>
      <c r="C30" s="498">
        <f>SUM(C23,C24,C25)</f>
        <v>0</v>
      </c>
      <c r="D30" s="498">
        <f>SUM(D23,D24,D25)</f>
        <v>49309</v>
      </c>
      <c r="E30" s="498">
        <f>SUM(E23,E24,E25)</f>
        <v>2781</v>
      </c>
      <c r="F30" s="661">
        <f>SUM(D30:E30)</f>
        <v>52090</v>
      </c>
    </row>
    <row r="31" spans="1:6" s="455" customFormat="1" ht="13.5" customHeight="1">
      <c r="A31" s="453"/>
      <c r="B31" s="454" t="s">
        <v>120</v>
      </c>
      <c r="C31" s="456">
        <f>SUM(C22,C23:C25)</f>
        <v>620696</v>
      </c>
      <c r="D31" s="456">
        <f>SUM(D22,D23:D25)</f>
        <v>740371</v>
      </c>
      <c r="E31" s="456">
        <f>SUM(E22,E23:E25)</f>
        <v>5115</v>
      </c>
      <c r="F31" s="662">
        <f>SUM(D31:E31)</f>
        <v>745486</v>
      </c>
    </row>
    <row r="32" spans="1:6" s="33" customFormat="1" ht="12" customHeight="1">
      <c r="A32" s="159"/>
      <c r="B32" s="53" t="s">
        <v>378</v>
      </c>
      <c r="C32" s="499"/>
      <c r="D32" s="499"/>
      <c r="E32" s="29"/>
      <c r="F32" s="660"/>
    </row>
    <row r="33" spans="1:6" s="33" customFormat="1" ht="12" customHeight="1">
      <c r="A33" s="150" t="s">
        <v>247</v>
      </c>
      <c r="B33" s="140" t="s">
        <v>464</v>
      </c>
      <c r="C33" s="499">
        <v>0</v>
      </c>
      <c r="D33" s="499">
        <v>0</v>
      </c>
      <c r="E33" s="29">
        <v>0</v>
      </c>
      <c r="F33" s="660">
        <f>SUM(D33:E33)</f>
        <v>0</v>
      </c>
    </row>
    <row r="34" spans="1:6" s="33" customFormat="1" ht="24" customHeight="1">
      <c r="A34" s="469" t="s">
        <v>248</v>
      </c>
      <c r="B34" s="470" t="s">
        <v>155</v>
      </c>
      <c r="C34" s="501">
        <v>45079</v>
      </c>
      <c r="D34" s="712">
        <v>45079</v>
      </c>
      <c r="E34" s="669">
        <v>0</v>
      </c>
      <c r="F34" s="663">
        <f>SUM(D34:E34)</f>
        <v>45079</v>
      </c>
    </row>
    <row r="35" spans="1:6" s="33" customFormat="1" ht="12" customHeight="1">
      <c r="A35" s="472"/>
      <c r="B35" s="473" t="s">
        <v>458</v>
      </c>
      <c r="C35" s="502">
        <v>3530</v>
      </c>
      <c r="D35" s="713">
        <v>3530</v>
      </c>
      <c r="E35" s="670"/>
      <c r="F35" s="664">
        <f>SUM(D35:E35)</f>
        <v>3530</v>
      </c>
    </row>
    <row r="36" spans="1:6" s="33" customFormat="1" ht="12" customHeight="1">
      <c r="A36" s="150" t="s">
        <v>249</v>
      </c>
      <c r="B36" s="35" t="s">
        <v>94</v>
      </c>
      <c r="C36" s="499">
        <v>792</v>
      </c>
      <c r="D36" s="499">
        <v>792</v>
      </c>
      <c r="E36" s="29">
        <v>0</v>
      </c>
      <c r="F36" s="664">
        <f aca="true" t="shared" si="2" ref="F36:F51">SUM(D36:E36)</f>
        <v>792</v>
      </c>
    </row>
    <row r="37" spans="1:6" s="33" customFormat="1" ht="12" customHeight="1">
      <c r="A37" s="150" t="s">
        <v>95</v>
      </c>
      <c r="B37" s="35" t="s">
        <v>421</v>
      </c>
      <c r="C37" s="499">
        <v>4947</v>
      </c>
      <c r="D37" s="499">
        <v>4947</v>
      </c>
      <c r="E37" s="29">
        <v>0</v>
      </c>
      <c r="F37" s="664">
        <f t="shared" si="2"/>
        <v>4947</v>
      </c>
    </row>
    <row r="38" spans="1:6" s="33" customFormat="1" ht="12" customHeight="1">
      <c r="A38" s="469" t="s">
        <v>96</v>
      </c>
      <c r="B38" s="760" t="s">
        <v>297</v>
      </c>
      <c r="C38" s="501">
        <v>0</v>
      </c>
      <c r="D38" s="501">
        <v>0</v>
      </c>
      <c r="E38" s="471">
        <v>0</v>
      </c>
      <c r="F38" s="771">
        <f t="shared" si="2"/>
        <v>0</v>
      </c>
    </row>
    <row r="39" spans="1:6" s="33" customFormat="1" ht="25.5" customHeight="1">
      <c r="A39" s="469" t="s">
        <v>97</v>
      </c>
      <c r="B39" s="762" t="s">
        <v>205</v>
      </c>
      <c r="C39" s="501">
        <v>0</v>
      </c>
      <c r="D39" s="501">
        <v>0</v>
      </c>
      <c r="E39" s="669">
        <v>352</v>
      </c>
      <c r="F39" s="663">
        <f t="shared" si="2"/>
        <v>352</v>
      </c>
    </row>
    <row r="40" spans="1:6" s="33" customFormat="1" ht="12" customHeight="1">
      <c r="A40" s="472"/>
      <c r="B40" s="772" t="s">
        <v>639</v>
      </c>
      <c r="C40" s="502">
        <v>0</v>
      </c>
      <c r="D40" s="502">
        <v>0</v>
      </c>
      <c r="E40" s="670"/>
      <c r="F40" s="664">
        <f t="shared" si="2"/>
        <v>0</v>
      </c>
    </row>
    <row r="41" spans="1:6" s="33" customFormat="1" ht="24" customHeight="1">
      <c r="A41" s="763" t="s">
        <v>98</v>
      </c>
      <c r="B41" s="764" t="s">
        <v>320</v>
      </c>
      <c r="C41" s="774">
        <v>0</v>
      </c>
      <c r="D41" s="774">
        <v>0</v>
      </c>
      <c r="E41" s="773">
        <v>676</v>
      </c>
      <c r="F41" s="771">
        <f t="shared" si="2"/>
        <v>676</v>
      </c>
    </row>
    <row r="42" spans="1:6" s="33" customFormat="1" ht="12" customHeight="1">
      <c r="A42" s="931" t="s">
        <v>99</v>
      </c>
      <c r="B42" s="762" t="s">
        <v>207</v>
      </c>
      <c r="C42" s="501">
        <v>0</v>
      </c>
      <c r="D42" s="501">
        <v>0</v>
      </c>
      <c r="E42" s="471">
        <v>0</v>
      </c>
      <c r="F42" s="663">
        <f t="shared" si="2"/>
        <v>0</v>
      </c>
    </row>
    <row r="43" spans="1:6" s="33" customFormat="1" ht="12" customHeight="1">
      <c r="A43" s="932"/>
      <c r="B43" s="772" t="s">
        <v>639</v>
      </c>
      <c r="C43" s="502">
        <v>0</v>
      </c>
      <c r="D43" s="502">
        <v>0</v>
      </c>
      <c r="E43" s="474">
        <v>0</v>
      </c>
      <c r="F43" s="664">
        <f>SUM(D43:E43)</f>
        <v>0</v>
      </c>
    </row>
    <row r="44" spans="1:6" s="33" customFormat="1" ht="24" customHeight="1">
      <c r="A44" s="472" t="s">
        <v>100</v>
      </c>
      <c r="B44" s="761" t="s">
        <v>487</v>
      </c>
      <c r="C44" s="502">
        <v>0</v>
      </c>
      <c r="D44" s="502">
        <v>0</v>
      </c>
      <c r="E44" s="474">
        <v>0</v>
      </c>
      <c r="F44" s="664">
        <f t="shared" si="2"/>
        <v>0</v>
      </c>
    </row>
    <row r="45" spans="1:6" s="33" customFormat="1" ht="12" customHeight="1">
      <c r="A45" s="150" t="s">
        <v>101</v>
      </c>
      <c r="B45" s="35" t="s">
        <v>366</v>
      </c>
      <c r="C45" s="499">
        <v>0</v>
      </c>
      <c r="D45" s="499">
        <v>0</v>
      </c>
      <c r="E45" s="29">
        <v>0</v>
      </c>
      <c r="F45" s="660">
        <f t="shared" si="2"/>
        <v>0</v>
      </c>
    </row>
    <row r="46" spans="1:6" s="33" customFormat="1" ht="12" customHeight="1">
      <c r="A46" s="150" t="s">
        <v>102</v>
      </c>
      <c r="B46" s="35" t="s">
        <v>367</v>
      </c>
      <c r="C46" s="499">
        <v>0</v>
      </c>
      <c r="D46" s="499">
        <v>63920</v>
      </c>
      <c r="E46" s="29">
        <v>0</v>
      </c>
      <c r="F46" s="660">
        <f t="shared" si="2"/>
        <v>63920</v>
      </c>
    </row>
    <row r="47" spans="1:6" s="531" customFormat="1" ht="12" customHeight="1">
      <c r="A47" s="529"/>
      <c r="B47" s="530" t="s">
        <v>133</v>
      </c>
      <c r="C47" s="498">
        <f>SUM(C33:C46)-C35-C40-C43</f>
        <v>50818</v>
      </c>
      <c r="D47" s="498">
        <f>SUM(D33:D46)-D35-D40-D43</f>
        <v>114738</v>
      </c>
      <c r="E47" s="498">
        <f>SUM(E33:E46)-E35-E40-E43</f>
        <v>1028</v>
      </c>
      <c r="F47" s="661">
        <f t="shared" si="2"/>
        <v>115766</v>
      </c>
    </row>
    <row r="48" spans="1:6" s="533" customFormat="1" ht="13.5">
      <c r="A48" s="534" t="s">
        <v>103</v>
      </c>
      <c r="B48" s="530" t="s">
        <v>423</v>
      </c>
      <c r="C48" s="498">
        <v>569878</v>
      </c>
      <c r="D48" s="498">
        <v>625633</v>
      </c>
      <c r="E48" s="498">
        <v>4087</v>
      </c>
      <c r="F48" s="665">
        <f t="shared" si="2"/>
        <v>629720</v>
      </c>
    </row>
    <row r="49" spans="1:6" s="420" customFormat="1" ht="12" customHeight="1">
      <c r="A49" s="373"/>
      <c r="B49" s="446" t="s">
        <v>211</v>
      </c>
      <c r="C49" s="545">
        <v>219359</v>
      </c>
      <c r="D49" s="545">
        <v>219359</v>
      </c>
      <c r="E49" s="450">
        <v>995</v>
      </c>
      <c r="F49" s="660">
        <f t="shared" si="2"/>
        <v>220354</v>
      </c>
    </row>
    <row r="50" spans="1:6" s="420" customFormat="1" ht="12" customHeight="1">
      <c r="A50" s="373"/>
      <c r="B50" s="543" t="s">
        <v>462</v>
      </c>
      <c r="C50" s="545">
        <v>0</v>
      </c>
      <c r="D50" s="545">
        <v>0</v>
      </c>
      <c r="E50" s="450">
        <v>701</v>
      </c>
      <c r="F50" s="660">
        <f t="shared" si="2"/>
        <v>701</v>
      </c>
    </row>
    <row r="51" spans="1:6" s="420" customFormat="1" ht="12" customHeight="1">
      <c r="A51" s="418"/>
      <c r="B51" s="451" t="s">
        <v>113</v>
      </c>
      <c r="C51" s="419">
        <f>SUM(C47:C48)</f>
        <v>620696</v>
      </c>
      <c r="D51" s="419">
        <f>SUM(D47:D48)</f>
        <v>740371</v>
      </c>
      <c r="E51" s="419">
        <f>SUM(E47:E48)</f>
        <v>5115</v>
      </c>
      <c r="F51" s="662">
        <f t="shared" si="2"/>
        <v>745486</v>
      </c>
    </row>
    <row r="52" spans="4:7" ht="15.75">
      <c r="D52" s="719"/>
      <c r="E52" s="720"/>
      <c r="F52" s="721"/>
      <c r="G52" s="8"/>
    </row>
  </sheetData>
  <sheetProtection password="CC08"/>
  <mergeCells count="5">
    <mergeCell ref="A42:A43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CE,Normál"3/b.számú melléklet                
       </oddHeader>
    <oddFooter>&amp;L&amp;"Times New Roman CE,Normál"&amp;8&amp;F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Vámosi László</cp:lastModifiedBy>
  <cp:lastPrinted>2006-09-28T11:42:37Z</cp:lastPrinted>
  <dcterms:created xsi:type="dcterms:W3CDTF">2000-12-19T13:47:05Z</dcterms:created>
  <dcterms:modified xsi:type="dcterms:W3CDTF">2006-10-31T08:07:38Z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531537298</vt:i4>
  </property>
  <property fmtid="{D5CDD505-2E9C-101B-9397-08002B2CF9AE}" pid="3" name="_EmailSubject">
    <vt:lpwstr>Rendeletek Csepelről</vt:lpwstr>
  </property>
  <property fmtid="{D5CDD505-2E9C-101B-9397-08002B2CF9AE}" pid="4" name="_AuthorEmail">
    <vt:lpwstr>csepelph@elender.hu</vt:lpwstr>
  </property>
  <property fmtid="{D5CDD505-2E9C-101B-9397-08002B2CF9AE}" pid="5" name="_AuthorEmailDisplayName">
    <vt:lpwstr>Farkas György</vt:lpwstr>
  </property>
  <property fmtid="{D5CDD505-2E9C-101B-9397-08002B2CF9AE}" pid="6" name="_ReviewingToolsShownOnce">
    <vt:lpwstr/>
  </property>
</Properties>
</file>