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2145" windowWidth="9570" windowHeight="2220" tabRatio="591" activeTab="0"/>
  </bookViews>
  <sheets>
    <sheet name="1.számú melléklet" sheetId="1" r:id="rId1"/>
    <sheet name="1a.számú melléklet " sheetId="2" r:id="rId2"/>
    <sheet name="1b.számú melléklet" sheetId="3" r:id="rId3"/>
    <sheet name="2.számú melléklet" sheetId="4" r:id="rId4"/>
    <sheet name="2a.számú melléklet " sheetId="5" r:id="rId5"/>
    <sheet name="2b.számú melléklet" sheetId="6" r:id="rId6"/>
    <sheet name="2c.számú melléklet" sheetId="7" r:id="rId7"/>
    <sheet name="3.számú melléklet" sheetId="8" r:id="rId8"/>
    <sheet name="Oktatási ágazat össz." sheetId="9" r:id="rId9"/>
    <sheet name="3a.számú melléklet" sheetId="10" r:id="rId10"/>
    <sheet name="3b.számú melléklet" sheetId="11" r:id="rId11"/>
    <sheet name="3c.számú melléklet" sheetId="12" r:id="rId12"/>
    <sheet name="3d.számú melléklet" sheetId="13" r:id="rId13"/>
    <sheet name="3e.számú melléklet" sheetId="14" r:id="rId14"/>
    <sheet name="3f.számú melléklet" sheetId="15" r:id="rId15"/>
    <sheet name="3g.számú melléklet" sheetId="16" r:id="rId16"/>
    <sheet name="3h.számú melléklet" sheetId="17" r:id="rId17"/>
    <sheet name="4.számú melléklet" sheetId="18" r:id="rId18"/>
    <sheet name="4a.számú melléklet" sheetId="19" r:id="rId19"/>
    <sheet name="4b.számú melléklet" sheetId="20" r:id="rId20"/>
    <sheet name="5.számú melléklet " sheetId="21" r:id="rId21"/>
    <sheet name="6a.sz.melléklet (1)" sheetId="22" r:id="rId22"/>
    <sheet name="6a.sz.mellékle (2)" sheetId="23" r:id="rId23"/>
    <sheet name="6a.sz.mellékle (3)" sheetId="24" r:id="rId24"/>
    <sheet name="6a.sz.mellékle (4)" sheetId="25" r:id="rId25"/>
    <sheet name="6a.sz.mellékle (5)" sheetId="26" r:id="rId26"/>
    <sheet name="6a.sz.mellékle (6)" sheetId="27" r:id="rId27"/>
    <sheet name="6a.sz.mellékle (7)" sheetId="28" r:id="rId28"/>
    <sheet name="6a.sz.mellékle (8)" sheetId="29" r:id="rId29"/>
    <sheet name="6a.sz.mellékle (9)" sheetId="30" r:id="rId30"/>
    <sheet name="6a.sz.mellékle (10)" sheetId="31" r:id="rId31"/>
    <sheet name="6b.számú melléklet(1)" sheetId="32" r:id="rId32"/>
    <sheet name="6b.számú melléklet(2)" sheetId="33" r:id="rId33"/>
    <sheet name="7.számú melléklet" sheetId="34" r:id="rId34"/>
    <sheet name="8.számú melléklet" sheetId="35" r:id="rId35"/>
    <sheet name="8.számú számítás" sheetId="36" r:id="rId36"/>
    <sheet name="9a.számú melléklet" sheetId="37" r:id="rId37"/>
    <sheet name="9b.számú melléklet" sheetId="38" r:id="rId38"/>
    <sheet name="10.számú melléklet" sheetId="39" r:id="rId39"/>
    <sheet name="11.számú melléklet" sheetId="40" r:id="rId40"/>
    <sheet name="12.számú melléklet " sheetId="41" r:id="rId41"/>
    <sheet name="13.számú melléklet" sheetId="42" r:id="rId42"/>
    <sheet name="14.számú melléklet" sheetId="43" r:id="rId43"/>
    <sheet name="15.sz.melléklet" sheetId="44" r:id="rId44"/>
    <sheet name="16.sz.melléklet" sheetId="45" r:id="rId45"/>
    <sheet name="17.sz. melléklet" sheetId="46" r:id="rId46"/>
  </sheets>
  <externalReferences>
    <externalReference r:id="rId49"/>
    <externalReference r:id="rId50"/>
    <externalReference r:id="rId51"/>
  </externalReferences>
  <definedNames>
    <definedName name="_xlnm.Print_Titles" localSheetId="0">'1.számú melléklet'!$7:$9</definedName>
    <definedName name="_xlnm.Print_Titles" localSheetId="43">'15.sz.melléklet'!$7:$8</definedName>
    <definedName name="_xlnm.Print_Titles" localSheetId="1">'1a.számú melléklet '!$9:$11</definedName>
    <definedName name="_xlnm.Print_Titles" localSheetId="2">'1b.számú melléklet'!$5:$5</definedName>
    <definedName name="_xlnm.Print_Titles" localSheetId="3">'2.számú melléklet'!$3:$5</definedName>
    <definedName name="_xlnm.Print_Titles" localSheetId="4">'2a.számú melléklet '!$3:$5</definedName>
    <definedName name="_xlnm.Print_Titles" localSheetId="5">'2b.számú melléklet'!$6:$8</definedName>
    <definedName name="_xlnm.Print_Titles" localSheetId="17">'4.számú melléklet'!$4:$6</definedName>
    <definedName name="_xlnm.Print_Titles" localSheetId="18">'4a.számú melléklet'!$5:$7</definedName>
    <definedName name="_xlnm.Print_Titles" localSheetId="20">'5.számú melléklet '!$6:$7</definedName>
    <definedName name="_xlnm.Print_Titles" localSheetId="36">'9a.számú melléklet'!$7:$9</definedName>
    <definedName name="_xlnm.Print_Titles" localSheetId="37">'9b.számú melléklet'!$5:$7</definedName>
    <definedName name="OLE_LINK1" localSheetId="45">'17.sz. melléklet'!#REF!</definedName>
  </definedNames>
  <calcPr fullCalcOnLoad="1"/>
</workbook>
</file>

<file path=xl/sharedStrings.xml><?xml version="1.0" encoding="utf-8"?>
<sst xmlns="http://schemas.openxmlformats.org/spreadsheetml/2006/main" count="3675" uniqueCount="1055">
  <si>
    <t>6. Pénzmaradvány</t>
  </si>
  <si>
    <t xml:space="preserve">7. Fejlesztési hitel </t>
  </si>
  <si>
    <t>Felhalmozási bevételek összesen</t>
  </si>
  <si>
    <t>Felhalmozási forráshiány</t>
  </si>
  <si>
    <t>Költségvetési hiány összesen</t>
  </si>
  <si>
    <t>Költségvetési függő, átfutó, kiegyenlítő bevételek</t>
  </si>
  <si>
    <t>Pénzkészlet, költségvetési függő, átfutó, kiegyenlítő kiadások</t>
  </si>
  <si>
    <t xml:space="preserve">Összesen: </t>
  </si>
  <si>
    <t>Költségvetési támogatás összesen</t>
  </si>
  <si>
    <t>Központi támogatás</t>
  </si>
  <si>
    <t>Átvett pénzeszköz</t>
  </si>
  <si>
    <t>Pénzmaradvány</t>
  </si>
  <si>
    <t>Felhalm.c.költségvetési tám.</t>
  </si>
  <si>
    <t xml:space="preserve">Működés célú pénzeszköz átadás </t>
  </si>
  <si>
    <t>Bevételek összesen:</t>
  </si>
  <si>
    <t>Működés célú pénzeszköz átadás</t>
  </si>
  <si>
    <t>Felhalmozás célú pénzeszk.átadás</t>
  </si>
  <si>
    <t>Felhalmozási bevételek</t>
  </si>
  <si>
    <t>Felhalmozási bevétel</t>
  </si>
  <si>
    <t xml:space="preserve">                Budapest, V.ker. Báthory u. 9.  </t>
  </si>
  <si>
    <t>1./   1.000.000 eFt-os fejlesztési célhitel</t>
  </si>
  <si>
    <t>adatok ezer Ft-ban</t>
  </si>
  <si>
    <t>Hitel lejárati éve</t>
  </si>
  <si>
    <t xml:space="preserve">3./   138.000 eFt-os lakásépítési hitel </t>
  </si>
  <si>
    <t xml:space="preserve">Mindösszesen: </t>
  </si>
  <si>
    <t>Tájékoztató</t>
  </si>
  <si>
    <t>a többéves kihatással járó képviselő-testületi  határozatokról</t>
  </si>
  <si>
    <t>Határozat szám</t>
  </si>
  <si>
    <t>Kötelezettségek</t>
  </si>
  <si>
    <t>2008. év</t>
  </si>
  <si>
    <t>Program, projekt megnevezése</t>
  </si>
  <si>
    <t>Megvalósítás kiadásai</t>
  </si>
  <si>
    <t>Uniós támogatás</t>
  </si>
  <si>
    <t>Önerő</t>
  </si>
  <si>
    <t>URBACT CIT-U-M városi közlekedés elősegítése program</t>
  </si>
  <si>
    <t>URBACT HOUS-ES városrehabilitációs panel program</t>
  </si>
  <si>
    <t>ROP Az öt muskétás program</t>
  </si>
  <si>
    <t>ÖSSZESEN</t>
  </si>
  <si>
    <t xml:space="preserve">   </t>
  </si>
  <si>
    <t>2007. évi terv</t>
  </si>
  <si>
    <t>Ellátottak térítési díjának, illetve kártérítésének méltányossági alapon történő elengedése</t>
  </si>
  <si>
    <t>Lakosság részére lakásépítéshez, lakásfelújításhoz nyújtott kölcsönök elengedése</t>
  </si>
  <si>
    <t xml:space="preserve">Építményadónál biztosított kedvezmény, mentesség </t>
  </si>
  <si>
    <t>Gépjárműadónál biztosított kedvezmény, mentesség</t>
  </si>
  <si>
    <t>Helyiségek, eszközök hasznosításából származó bevételből nyújtott kedvezmény, mentesség</t>
  </si>
  <si>
    <t>Egyéb nyújtott kedvezmény vagy kölcsön elengedése</t>
  </si>
  <si>
    <t xml:space="preserve">Oktatási, Művelődési, Ifjúsági és Sport Ágazat Pedagógusnapi  polgármesteri jutalmak </t>
  </si>
  <si>
    <t>Játszóudvari játékok felülvizsgálatára, cseréjére</t>
  </si>
  <si>
    <t>A költségvetési egyensúly javításával kapcsolatos intézkedések végrehajtása</t>
  </si>
  <si>
    <t xml:space="preserve">Felújítás összesen  </t>
  </si>
  <si>
    <t xml:space="preserve">Oktatási Szolgáltató Intézmény összesen  </t>
  </si>
  <si>
    <t>Szent István út</t>
  </si>
  <si>
    <t>Rendelő átalakításával kapcsolatos tervezés</t>
  </si>
  <si>
    <t xml:space="preserve">Szabadság út </t>
  </si>
  <si>
    <t xml:space="preserve">Gyermekrendelő áthelyezéséhez kapcsolódó tervezési költség </t>
  </si>
  <si>
    <t xml:space="preserve">Csepeli Egészségügyi Szolgálat összesen </t>
  </si>
  <si>
    <t>Földszinti portálok felújítása</t>
  </si>
  <si>
    <t>Saját vagy bérelt Ingatlan hasznosítás összesen (1-4-ig)</t>
  </si>
  <si>
    <t>Fakataszter készítése</t>
  </si>
  <si>
    <t>Faállomány tervszerű fenntartásának megalapozására</t>
  </si>
  <si>
    <t>Utcai takarítógép</t>
  </si>
  <si>
    <t>Kisegítő mezőgazdasági tevékenység összesen (1-2-ig)</t>
  </si>
  <si>
    <t>Mol Rt. szabályozási terv elkészítése</t>
  </si>
  <si>
    <t>A volt Csepel Művek I. kapu felújítása és védetté nyilvánítása</t>
  </si>
  <si>
    <t>Magasépítőipar összesen (1-10-ig)</t>
  </si>
  <si>
    <t>Szabadság köz (778. u.)</t>
  </si>
  <si>
    <t>Kórus utca (Szent István út-Égerfás u.)</t>
  </si>
  <si>
    <t>Aradi vértanuk útja (Mátra u.-Fátra u.)</t>
  </si>
  <si>
    <t>Útépítés bonyolítói díja</t>
  </si>
  <si>
    <t>Helyi közutak, hidak, alagutak létesítése és felújítása összesen (1-7-ig)</t>
  </si>
  <si>
    <t>Csepeli Wellness Park kialakítása</t>
  </si>
  <si>
    <t xml:space="preserve">Önkormányzati igazgatási tevékenység összesen </t>
  </si>
  <si>
    <t xml:space="preserve">A költségvetési kereteken belüli gazdálkodást és a működés biztonságát szolgáló                       2 %-os önkormányzati tartalék </t>
  </si>
  <si>
    <t>2007. évi tartalékok kiadási előirányzatai</t>
  </si>
  <si>
    <t>Európai Gazdasági Térség és a Norvég Finanszírozási Mechanizmus keretében kiírt pályázathoz önrész</t>
  </si>
  <si>
    <t>Általános hozzájárulás a nappali tanulók tankönyvellátásához</t>
  </si>
  <si>
    <t>2007. évi támogatásértékű kiadások, támogatások folyósításának előirányzatai</t>
  </si>
  <si>
    <t>Gázbekötés támogatása</t>
  </si>
  <si>
    <t>Budapesti Rendőr Főkapitányság</t>
  </si>
  <si>
    <t>Térfigyelő rendszer működésének támogatása</t>
  </si>
  <si>
    <t>2007. évi szociálpolitikai és egyéb pénzbeli juttatások  kiadásai előirányzatai</t>
  </si>
  <si>
    <t>HEFOP Sajátos nevelési igényű tanulók együttnevelése</t>
  </si>
  <si>
    <t xml:space="preserve"> Otthonmegőrzési támogatás</t>
  </si>
  <si>
    <t>Ellátottak pénzbeli juttatásai</t>
  </si>
  <si>
    <t>2007. évi tervezett előirányzatai</t>
  </si>
  <si>
    <t>Városüzemeltetési feladatok</t>
  </si>
  <si>
    <t>197/2006.(IV.25) Kt. sz. határozat</t>
  </si>
  <si>
    <t>Oktatási, Művelődési, Ifjúsági és Sport Ágazat kötelező óraszám emelkedése miatti létszámcsökkentés költségei</t>
  </si>
  <si>
    <t>Nagy Imre Általános Művelődési Központ létszámcsökkentés</t>
  </si>
  <si>
    <t xml:space="preserve">Helyi adók összesen: </t>
  </si>
  <si>
    <t>Felhalmozás célú központi költségvetési támogatás</t>
  </si>
  <si>
    <t>Egyéb sajátos bevételek</t>
  </si>
  <si>
    <t>Átengedett SZJA</t>
  </si>
  <si>
    <t>2007. évi gazdálkodási eredményének bemutatása pénzeszközök alapján</t>
  </si>
  <si>
    <t>Ebből a tartalékban</t>
  </si>
  <si>
    <t>13. Felhalmozási, finanszírozási célú kiadások összesen :</t>
  </si>
  <si>
    <t>14. Belföldi hitelműveletek kiadásai, hosszúlejáratú hitel törlesztése</t>
  </si>
  <si>
    <t>15.  Felhalmozási forráshiány (12-13-14)</t>
  </si>
  <si>
    <t>16. Költségvetési forráshiány (6+15)</t>
  </si>
  <si>
    <t>HEFOP Fogyatékos embert nevelő családok munkaerő piacra kerülése (Csepeli Egészségügyi Szolgálat)</t>
  </si>
  <si>
    <t>Indokolás:</t>
  </si>
  <si>
    <t>3.)</t>
  </si>
  <si>
    <t>4.)</t>
  </si>
  <si>
    <t>5.)</t>
  </si>
  <si>
    <t>Polgármesteri Hivatal összesen (I+II+III)</t>
  </si>
  <si>
    <t>Felújítások mindösszesen</t>
  </si>
  <si>
    <t>Egyéb felhalmozások mindösszesen</t>
  </si>
  <si>
    <t>Kerületi beruházások mindösszesen</t>
  </si>
  <si>
    <r>
      <t>Magasépítőipar</t>
    </r>
    <r>
      <rPr>
        <sz val="9"/>
        <rFont val="Times New Roman CE"/>
        <family val="0"/>
      </rPr>
      <t xml:space="preserve"> (Városrendezés)</t>
    </r>
  </si>
  <si>
    <t xml:space="preserve">Felújítás összesen </t>
  </si>
  <si>
    <t>Belföldi hitelműveletek kiadásai</t>
  </si>
  <si>
    <t>- Rendszeres gyermekvédelmi támogatás</t>
  </si>
  <si>
    <t>- Szociális ösztöndíj</t>
  </si>
  <si>
    <t>Rendszeres szociális pénzbeli ellátások</t>
  </si>
  <si>
    <t>Rendszeres gyermekvédelmi pénzbeli ellátások</t>
  </si>
  <si>
    <t>Munkanélküli ellátások</t>
  </si>
  <si>
    <t>Eseti pénzbeli szociális ellátások</t>
  </si>
  <si>
    <t>Eseti pénzbeli gyermekvédelmi ellátások</t>
  </si>
  <si>
    <t>OEP támogatás</t>
  </si>
  <si>
    <t>28.</t>
  </si>
  <si>
    <t>29.</t>
  </si>
  <si>
    <t>30.</t>
  </si>
  <si>
    <t>31.</t>
  </si>
  <si>
    <t>V.</t>
  </si>
  <si>
    <t>Csepeli temető szabályozási tervének elkészítése (önrész)</t>
  </si>
  <si>
    <t>2. Munkaadókat terhelő járulékok</t>
  </si>
  <si>
    <t>3. Dologi kiadás</t>
  </si>
  <si>
    <t>Működési kiadások összesen:</t>
  </si>
  <si>
    <t>ezer Ft-ban</t>
  </si>
  <si>
    <t>Megnevezés</t>
  </si>
  <si>
    <t>b</t>
  </si>
  <si>
    <t>- személyi juttatás</t>
  </si>
  <si>
    <t>Budapest XXI. Kerület Csepel Önkormányzata Oktatási Szolgáltató Intézmény részben önállóan gazdálkodó intézményei</t>
  </si>
  <si>
    <t>Tanuszoda+Sportcsoport</t>
  </si>
  <si>
    <t>Fasang Árpád Zeneiskola</t>
  </si>
  <si>
    <t>5. Ellátottak pénzbeli juttatás</t>
  </si>
  <si>
    <t>4. ÁFA bevétel, visszatérülés</t>
  </si>
  <si>
    <t>5. Kamat bevétel</t>
  </si>
  <si>
    <t>Csepel Galéria és Helytört. Gy.</t>
  </si>
  <si>
    <t>Központi Műhely</t>
  </si>
  <si>
    <t>Hétszínvirág Napköziotth.Óvoda</t>
  </si>
  <si>
    <t xml:space="preserve"> Tátika Napköziotthonos Óvoda </t>
  </si>
  <si>
    <t>Kádár Katalin Napköziotth.Óvoda</t>
  </si>
  <si>
    <t>Játéksziget Óvoda Jupiter 24/a.</t>
  </si>
  <si>
    <t>Népműv. és Kézműv. Óvoda</t>
  </si>
  <si>
    <t>Kerekvilág Napköziotth.Óvoda</t>
  </si>
  <si>
    <t>Napsugár Napköziotth.Óvoda</t>
  </si>
  <si>
    <t>Gyermeksziget Óvoda Kossuth L.u.</t>
  </si>
  <si>
    <t>Csodakút Óvoda Rákóczi 110.</t>
  </si>
  <si>
    <t>Napköziotth.Óvoda Vénusz u.</t>
  </si>
  <si>
    <t xml:space="preserve">Szivárvány Napköziotth.Óvoda </t>
  </si>
  <si>
    <t xml:space="preserve">Napköziotth.Óvoda Szabadság u. </t>
  </si>
  <si>
    <t>Napköziotth.Óvoda Erdősor 110.</t>
  </si>
  <si>
    <t>Gyermekláncfű Napköziotth.Óvoda</t>
  </si>
  <si>
    <t>Aprajafalva Napköziotth.Óvoda</t>
  </si>
  <si>
    <t>Móra Ferenc Ált. Iskola</t>
  </si>
  <si>
    <t>Vermes Miklós Ált. Iskola</t>
  </si>
  <si>
    <t>Gr. Széchenyi István Ált. Iskola</t>
  </si>
  <si>
    <t>Kölcsey Ferenc Ált. Iskola</t>
  </si>
  <si>
    <t>Kazinczy Ferenc Ált. Iskola</t>
  </si>
  <si>
    <t>II. Rákóczi Ferenc Ált. Iskola</t>
  </si>
  <si>
    <t>Mátyás Király Ált. Iskola</t>
  </si>
  <si>
    <t>Szárcsa Ált. Iskola</t>
  </si>
  <si>
    <t>Lajtha László Ált. Iskola</t>
  </si>
  <si>
    <t>Eötvös József Ált. Iskola</t>
  </si>
  <si>
    <t>Katona József Ált. Iskola</t>
  </si>
  <si>
    <t>Mészáros Jenő Ált. Iskola</t>
  </si>
  <si>
    <t>önállóan gazdálkodó intézmény</t>
  </si>
  <si>
    <t xml:space="preserve">Önkormányzati lakások lakbérbevétele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</si>
  <si>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Sor- szám</t>
  </si>
  <si>
    <t>Közutak és hidak üzemeltetése, fenntartása</t>
  </si>
  <si>
    <t>Város- és községgazdálkodási szolgáltatás</t>
  </si>
  <si>
    <t>- Tartósan munkanélküliek rendszeres szociális segélye</t>
  </si>
  <si>
    <t>- Időskorúak járadéka</t>
  </si>
  <si>
    <t>- Szociálpolitikai és egyéb pénzbeli juttatás</t>
  </si>
  <si>
    <t>- Munkanélküliek jövedelempótló támogatása</t>
  </si>
  <si>
    <t>- Mozgáskorlátozottak üzemanyag támogatása</t>
  </si>
  <si>
    <t>- Felhalmozási kiadás</t>
  </si>
  <si>
    <t>- Non-profit szervezeteknek</t>
  </si>
  <si>
    <t>- Egyéb vállalkozásoknak</t>
  </si>
  <si>
    <t>- Fejezeten (önkormányzaton) belül</t>
  </si>
  <si>
    <t>- Pénzeszközátadás háztartásoknak</t>
  </si>
  <si>
    <t>- Központi költségvetési szervnek</t>
  </si>
  <si>
    <t xml:space="preserve">- Állami (önkormányzati) nem pénzügyi  vállalkozásnak </t>
  </si>
  <si>
    <t>- Zöldfelület és berendezései felújítása</t>
  </si>
  <si>
    <t xml:space="preserve">Szoc.pol.és egyéb pénzbeli juttatás </t>
  </si>
  <si>
    <t>Felújítás</t>
  </si>
  <si>
    <t>Hosszúlejáratú hitelek visszafizetése, törlesztése</t>
  </si>
  <si>
    <t>Rövidlejáratú hitelek visszafizetése, törlesztése</t>
  </si>
  <si>
    <t xml:space="preserve">Önkormányzati pályázati önrész </t>
  </si>
  <si>
    <t xml:space="preserve">Kisebbségi önkormányzatoknak  pályázati összeg </t>
  </si>
  <si>
    <t>- Pedagógus szakvizsga, továbbképzés, emelt szintű érettségi vizsgáztatásra való felkészülés támogatása</t>
  </si>
  <si>
    <t>Működés célú támogatásértékű bevételek, előző évi támogatások, visszatérülések</t>
  </si>
  <si>
    <t xml:space="preserve">Működés célú támogatásértékű bevételek, előző évi támogatások, visszatérülések összesen: </t>
  </si>
  <si>
    <t>Felhalmozás célú támogatásértékű bevételek</t>
  </si>
  <si>
    <t>Működés célú támogatásértékű kiadások, pénzeszköz átadások</t>
  </si>
  <si>
    <t>Felhalmozás célú támogatásértékű kiadások, pénzeszköz átadások</t>
  </si>
  <si>
    <t>- ebből: normatív állami támogatás</t>
  </si>
  <si>
    <t>- Munkaadói járulék</t>
  </si>
  <si>
    <t>- Egészségügyi hozzájárulás</t>
  </si>
  <si>
    <t>Intézményi felújítás</t>
  </si>
  <si>
    <t>Útfelújítás</t>
  </si>
  <si>
    <t>Zöldfelület és berendezései felújítása</t>
  </si>
  <si>
    <t>Egyéb felhalmozási kiadás</t>
  </si>
  <si>
    <t>Kerületi beruházások</t>
  </si>
  <si>
    <t>Pénzügyi befektetések kiadásai</t>
  </si>
  <si>
    <t>Lakásfenntartás támogatása</t>
  </si>
  <si>
    <t>Rendkívüli gyermekvédelmi támogatás</t>
  </si>
  <si>
    <t xml:space="preserve">Szociálpolitikai és egyéb pénzbeli juttatások mindösszesen: </t>
  </si>
  <si>
    <t>- Köztemetés</t>
  </si>
  <si>
    <t xml:space="preserve">Rövid lejáratú működési hitel </t>
  </si>
  <si>
    <t>Rövid lejáratú működési hitel</t>
  </si>
  <si>
    <t>Támogatás célja</t>
  </si>
  <si>
    <t>Rendszeres szociális segély</t>
  </si>
  <si>
    <t xml:space="preserve"> önállóan gazdálkodó intézmény</t>
  </si>
  <si>
    <t>- Kerületi beruházások</t>
  </si>
  <si>
    <t>- Pénzügyi befektetések kiadásai</t>
  </si>
  <si>
    <t>- Felhalmozás célú pénzeszköz átadás államházt.kívülre</t>
  </si>
  <si>
    <t>Lakásfenntartási támogatás</t>
  </si>
  <si>
    <t>- Temetési segély</t>
  </si>
  <si>
    <t>Szinházi előadások támogatására (Munkásotthon Alapitvány)</t>
  </si>
  <si>
    <t xml:space="preserve">Egyházak támogatására </t>
  </si>
  <si>
    <t xml:space="preserve">Csepeli Polgárőrség támogatására </t>
  </si>
  <si>
    <t>Egyéb sportintézmények támogatására</t>
  </si>
  <si>
    <t>Csepp TV Kft. támogatás (Csepel Újság + Helyi TV)</t>
  </si>
  <si>
    <t>Csepeli Gyermekekért Alapítvány támogatása</t>
  </si>
  <si>
    <t>Csepeliek Művelődéséért Alapítvány támogatása</t>
  </si>
  <si>
    <t>c./</t>
  </si>
  <si>
    <t xml:space="preserve">Szociális és gyemekjóléti alapszolgáltatás általános feladatai </t>
  </si>
  <si>
    <t>Alapfokú művészeti oktatás</t>
  </si>
  <si>
    <t>Sajátos nevelési igényű gyermekek, tanulók nevelése oktatása</t>
  </si>
  <si>
    <t>Hozzájárulások egyes közoktatási intézményeket fenntartó önkormányzatok feladatellátásához</t>
  </si>
  <si>
    <t xml:space="preserve">Nem magyar nyelven folyó nevelés és oktatás </t>
  </si>
  <si>
    <t>Gyermek és ifjúságvédelemmel összefüggő szociális juttatások, szolgáltatások</t>
  </si>
  <si>
    <t>Közvetett támogatások összesen (1-6. összesen)</t>
  </si>
  <si>
    <r>
      <t xml:space="preserve">Normatív módon átengedett  </t>
    </r>
    <r>
      <rPr>
        <b/>
        <sz val="9"/>
        <rFont val="Times New Roman CE"/>
        <family val="1"/>
      </rPr>
      <t>SZJA mindösszesen:</t>
    </r>
  </si>
  <si>
    <t>Budapest XXI.Kerület Csepel Önkormányzata</t>
  </si>
  <si>
    <t>Budapest XXI. Kerület Csepel Önkormányzata</t>
  </si>
  <si>
    <t>Luxusadó</t>
  </si>
  <si>
    <t>Közoktatási alaphozzájárulás</t>
  </si>
  <si>
    <t>Közoktatási kiegészítő hozzájárulás</t>
  </si>
  <si>
    <t>Rendszeres gyermekvédelmi kedvezmény</t>
  </si>
  <si>
    <t>Kiegészítő gyermekvédelmi támogatás</t>
  </si>
  <si>
    <t>Támogatott álláskereső személyek rendszeres szociális segélye</t>
  </si>
  <si>
    <t xml:space="preserve">Szociális és gyemekjóléti alapszolgáltatás  feladatai </t>
  </si>
  <si>
    <t>Iskolai gyakorlati oktatás, szakképzés szakmai gyakorlati képzés</t>
  </si>
  <si>
    <t>Polgármesteri Hivatal összesen:</t>
  </si>
  <si>
    <t>2005.évi    I.1-XII.31-ig teljesítés</t>
  </si>
  <si>
    <t>2006. évi várható teljesítés</t>
  </si>
  <si>
    <t>2007. évi tervezett előirányzat</t>
  </si>
  <si>
    <t>6/4</t>
  </si>
  <si>
    <t>6/5</t>
  </si>
  <si>
    <t xml:space="preserve">2007.évi bevételeinek alakulása források szerint </t>
  </si>
  <si>
    <t>2007.évi tervezett előirányzat</t>
  </si>
  <si>
    <t xml:space="preserve">Index           </t>
  </si>
  <si>
    <t xml:space="preserve">Index             </t>
  </si>
  <si>
    <t xml:space="preserve">Index         </t>
  </si>
  <si>
    <t>2005.               I.l-XII.31-ig teljesítés</t>
  </si>
  <si>
    <t>2006.évi várható teljesítés</t>
  </si>
  <si>
    <t xml:space="preserve">Index     </t>
  </si>
  <si>
    <t xml:space="preserve">2007. évi kiadásainak alakulása szakfeladat szerint </t>
  </si>
  <si>
    <t>2007. évi felújítási és felhalmozási kiadásainak részletezése</t>
  </si>
  <si>
    <t>Összesen</t>
  </si>
  <si>
    <t>Megvaló- sulás éve</t>
  </si>
  <si>
    <t>Kiadás</t>
  </si>
  <si>
    <t>Munkaa. terhelő járulékok</t>
  </si>
  <si>
    <t>Műk. célú tám. értékű kiadások, pe.átadások</t>
  </si>
  <si>
    <t>Működési kiadás összesen</t>
  </si>
  <si>
    <t>Egyéb felhal- mozás</t>
  </si>
  <si>
    <t>Felh.célú  tám. értékű kiadások, pe.átadások</t>
  </si>
  <si>
    <t>Felh. célú támog. kölcsön folyósítása</t>
  </si>
  <si>
    <t>Hiteltör- lesztés</t>
  </si>
  <si>
    <t>Tartalékok</t>
  </si>
  <si>
    <t>Kiadás összesen</t>
  </si>
  <si>
    <t>Összesen:</t>
  </si>
  <si>
    <t>Bevétel</t>
  </si>
  <si>
    <t>Intézményi működési bevétel</t>
  </si>
  <si>
    <t>Egyéb   sajátos bevételek</t>
  </si>
  <si>
    <t>Központi költségv. támogatás</t>
  </si>
  <si>
    <t>Felh. és tőke jellegű bevétel</t>
  </si>
  <si>
    <t>Felhalm.célú központi  költség. támogatás</t>
  </si>
  <si>
    <t>Felhalm. célra ny. kölcsön visszatér.</t>
  </si>
  <si>
    <t>Finanszí- rozás</t>
  </si>
  <si>
    <t>Fejlesztési hitel</t>
  </si>
  <si>
    <t>Költség- vetési     hiány</t>
  </si>
  <si>
    <t xml:space="preserve">Január </t>
  </si>
  <si>
    <t>Február</t>
  </si>
  <si>
    <t>Március</t>
  </si>
  <si>
    <t>A hitelállomány bemutatása hitelezők,  lejárat, és eszközök szerint</t>
  </si>
  <si>
    <t>Hitelező: OTP Bank Nyrt. Önkormányzati Fiók</t>
  </si>
  <si>
    <t xml:space="preserve">2./   400.000 eFt-os lakásépítési hitel </t>
  </si>
  <si>
    <t xml:space="preserve">4./   600.000 eFt-os MFB hitel </t>
  </si>
  <si>
    <t>Gyermeksziget Napköziotthonos Óvoda</t>
  </si>
  <si>
    <t>Csodakút Napköziotthonos Óvoda</t>
  </si>
  <si>
    <t>Oktatási Szolgáltató Intézmény 2007. évre tervezett előirányzata:</t>
  </si>
  <si>
    <t>Nagy Imre Általános Művelődési Központ 2007.évre tervezett előirányzata:</t>
  </si>
  <si>
    <t>Csepeli Egészségügyi Szolgálat 2007. évre tervezett előirányzata:</t>
  </si>
  <si>
    <t>Karácsony Sándor Általános Iskola 2007. évre tervezett előirányzata:</t>
  </si>
  <si>
    <t>Herman Ottó Általános Iskola 2007. évre tervezett előirányzata:</t>
  </si>
  <si>
    <t>Kék Általános Iskola 2007. évre tervezett előirányzata:</t>
  </si>
  <si>
    <t>Radnóti Miklós Művelődési Ház 2007. évre tervezett előirányzata:</t>
  </si>
  <si>
    <t>Királyerdei Művelődési Ház 2007.évre tervezett előirányzata:</t>
  </si>
  <si>
    <t>2007. évi költségvetésének mérlege, és finanszírozási mérlege</t>
  </si>
  <si>
    <t>7. Általános tartalék</t>
  </si>
  <si>
    <t>8. Céltartalék (felhalmozási kiadásokra)</t>
  </si>
  <si>
    <t>Hosszú lejáratú hitel törlesztése</t>
  </si>
  <si>
    <t>Támogatott szervezet megnevezés</t>
  </si>
  <si>
    <t>- Adósságcsökkentési tám.rész. lakásfenntartási támogatás</t>
  </si>
  <si>
    <t>Háziorvosi Szolgálat</t>
  </si>
  <si>
    <t>Működés támogatása (Csepeli Egészségügyi Szolgálat)</t>
  </si>
  <si>
    <t>- Bursa Hungarica felsőoktatási ösztöndíjrendszer</t>
  </si>
  <si>
    <t>Felhalmozás és tőke jellegű bevétel</t>
  </si>
  <si>
    <t>Előző évi pénzmaradvány</t>
  </si>
  <si>
    <t>Felhalmozási bevételek összesen (13-16-ig)</t>
  </si>
  <si>
    <t>Bérleti jogviszony megváltás</t>
  </si>
  <si>
    <t>- Táppénzhozzájárulás</t>
  </si>
  <si>
    <t>- Társadalombiztosítási járulék</t>
  </si>
  <si>
    <t>Működési kiadások összesen</t>
  </si>
  <si>
    <t>Felhalmozási kiadások összesen</t>
  </si>
  <si>
    <t xml:space="preserve">Bevételek </t>
  </si>
  <si>
    <t xml:space="preserve">Oktatási, Művelődési, Ifjúsági és Sport Ágazat érdekeltségi céltartalék </t>
  </si>
  <si>
    <t>Önkormányzati tankönyv támogatás</t>
  </si>
  <si>
    <t xml:space="preserve">Csepp TV. Kft. </t>
  </si>
  <si>
    <t>Szociális és Egészségügyi Ágazat érdekeltségi céltartalék</t>
  </si>
  <si>
    <t>Közterület használati díj</t>
  </si>
  <si>
    <t>16.</t>
  </si>
  <si>
    <t>C.</t>
  </si>
  <si>
    <t>II.</t>
  </si>
  <si>
    <t>D.</t>
  </si>
  <si>
    <t>17.</t>
  </si>
  <si>
    <t>Önkormányzati lakások értékesítése</t>
  </si>
  <si>
    <t>18.</t>
  </si>
  <si>
    <t>19.</t>
  </si>
  <si>
    <t>E.</t>
  </si>
  <si>
    <t>20.</t>
  </si>
  <si>
    <t>21.</t>
  </si>
  <si>
    <t>22.</t>
  </si>
  <si>
    <t>F.</t>
  </si>
  <si>
    <t>III.</t>
  </si>
  <si>
    <t>23.</t>
  </si>
  <si>
    <t>Kerületi beruházás</t>
  </si>
  <si>
    <t>Lakóház és nem lakás célú ingatlanok felújítása</t>
  </si>
  <si>
    <t xml:space="preserve">- Lakóház és nem lakás célú ingatlanok felújítása </t>
  </si>
  <si>
    <t>- Étkezés térítés</t>
  </si>
  <si>
    <t>Költségvetési szervnek folyósított támogatás miatti korrekció</t>
  </si>
  <si>
    <t>Biztonságos Csepelért Közalapítvány</t>
  </si>
  <si>
    <t>Működés célú pénzeszk. átadás államházt.kívülre</t>
  </si>
  <si>
    <t>Tárgyi eszközök (immateriális javak, ingatlanok) értékesítése</t>
  </si>
  <si>
    <t>Parkfenntartáshoz  kapcsolódó működés kiadásaira</t>
  </si>
  <si>
    <t>ÁFA bevétel, visszatérülés</t>
  </si>
  <si>
    <t>Egyéb szociális és gyermekjóléti szolgáltatás</t>
  </si>
  <si>
    <t>Önkormányzati támogatás</t>
  </si>
  <si>
    <t>Központi költségvetési támogatás</t>
  </si>
  <si>
    <t>Helyi Kisebbségi Önkormányzatok</t>
  </si>
  <si>
    <t>- Általános tartalék  + polgármesteri keret</t>
  </si>
  <si>
    <t xml:space="preserve">Költségvetési kiadások összesen </t>
  </si>
  <si>
    <t>- Állami (önkormányzati) nem pénzügyi vállalkozásnak</t>
  </si>
  <si>
    <t>Általános tartalék + polgármesteri keret</t>
  </si>
  <si>
    <t>Csepeli Munkásotthon Alapítvány</t>
  </si>
  <si>
    <t>Vöröskereszt</t>
  </si>
  <si>
    <t>Egyházak</t>
  </si>
  <si>
    <t>Egyéb Sportintézmények</t>
  </si>
  <si>
    <t xml:space="preserve">Csevak Kft. </t>
  </si>
  <si>
    <t>Fővárosi Önkormányzat</t>
  </si>
  <si>
    <t>Elidegenítési bevétel 50 %-a</t>
  </si>
  <si>
    <t>Belügyminisztérium</t>
  </si>
  <si>
    <t>Első lakáshoz jutók támogatása</t>
  </si>
  <si>
    <t>Társasházak Felújítási Alap</t>
  </si>
  <si>
    <t>Eszközfejlesztés</t>
  </si>
  <si>
    <t>Ferencvárosi Önkormányzat</t>
  </si>
  <si>
    <t>Szabálysértési feladatok támogatása</t>
  </si>
  <si>
    <t>Működés támogatása</t>
  </si>
  <si>
    <t>Fővárosi Közterületfelügyelet</t>
  </si>
  <si>
    <t>Közterületfelügyelet feladatainak támogatása</t>
  </si>
  <si>
    <t>Csepel SC. Alapítvány</t>
  </si>
  <si>
    <t>Fiatal házasok</t>
  </si>
  <si>
    <t>- Adósságcsökkentési támogatás</t>
  </si>
  <si>
    <t>Helyi közutak, hidak, alagutak létesítése és felújítása</t>
  </si>
  <si>
    <t>Saját vagy bérelt Ingatlan hasznosítás</t>
  </si>
  <si>
    <t>Szikratávíró emléktorony</t>
  </si>
  <si>
    <t>Műkő felújítás</t>
  </si>
  <si>
    <t>Szellemi termék</t>
  </si>
  <si>
    <t>Ügyviteli és számítástechnikai eszközök</t>
  </si>
  <si>
    <t>Egyéb gép, berendezés és felszerelés</t>
  </si>
  <si>
    <t>Egyéb felhalmozás összesen</t>
  </si>
  <si>
    <t>Kisegítő mezőgazdasági tevékenység</t>
  </si>
  <si>
    <t xml:space="preserve">Duna-Holding és környékére szabályozási terv készítése </t>
  </si>
  <si>
    <t>Nem szociális bérlakás lakbérbevétele</t>
  </si>
  <si>
    <t>Ápolási díj</t>
  </si>
  <si>
    <t>- Műk.célú pe.átad.állami (önk.) nem pü.vállalk.-nak</t>
  </si>
  <si>
    <t>Bevételek</t>
  </si>
  <si>
    <t>Építményadó</t>
  </si>
  <si>
    <t xml:space="preserve">Csepeliek Művelődéséért Alapítvány </t>
  </si>
  <si>
    <t xml:space="preserve">Lakásépítési céltartalékra </t>
  </si>
  <si>
    <t>Diáksporttal kapcsolatos feladatok támogatása</t>
  </si>
  <si>
    <t>4/a.</t>
  </si>
  <si>
    <t>ebből: vállalkozási bevétel</t>
  </si>
  <si>
    <t xml:space="preserve">              normatív kötött támogatás           </t>
  </si>
  <si>
    <t xml:space="preserve">              normatív kötött támogatás </t>
  </si>
  <si>
    <t xml:space="preserve">- Állami (önkorm.) nem pénzügyi  vállalkozásnak </t>
  </si>
  <si>
    <t>Hatósági jogkörhöz köthető működési bevételek</t>
  </si>
  <si>
    <t>- Működés célú támogatásértékű kiadások</t>
  </si>
  <si>
    <t>- Működés célú pénzeszköz átadások államháztartáson kívülre</t>
  </si>
  <si>
    <t>- Felhalmozás célú támogatásértékű kiadások</t>
  </si>
  <si>
    <t>- Felhalmozás célú pénzeszköz átadások államháztartáson kívülre</t>
  </si>
  <si>
    <t>Működés célú támogatásértékű kiadások</t>
  </si>
  <si>
    <t>Működés célú pénzeszköz átadások államháztartáson kívülre</t>
  </si>
  <si>
    <t>Felhalmozás célú támogatásértékű kiadások</t>
  </si>
  <si>
    <t>Felhalmozás célú pénzeszköz átadások államháztartáson kívülre</t>
  </si>
  <si>
    <t>Önállóan gazdálkodó intézmények</t>
  </si>
  <si>
    <t>Időskorúak járadéka</t>
  </si>
  <si>
    <t>Szociális ösztöndíj</t>
  </si>
  <si>
    <t>Szakfeladat  megnevezése</t>
  </si>
  <si>
    <t>Étkezés térítés</t>
  </si>
  <si>
    <t>Mészáros Jenő Általános Iskola</t>
  </si>
  <si>
    <t>Ifjúsági feladatok támogatására</t>
  </si>
  <si>
    <t>Általános tartalékok</t>
  </si>
  <si>
    <t xml:space="preserve">I. </t>
  </si>
  <si>
    <t>Felhalmozás célú pénzeszköz átvétel államháztartáson kívülről</t>
  </si>
  <si>
    <t>Működési célú támogatásértékű kiadások, pénzeszköz átadások</t>
  </si>
  <si>
    <t>- Működés célú pénzeszközátadások államháztartáson kívülre</t>
  </si>
  <si>
    <t>4. Működés célú támogatásértékű kiadások, pénzeszköz átadások</t>
  </si>
  <si>
    <t>1. Hatósági jogkörhöz köthető működési bevételek</t>
  </si>
  <si>
    <r>
      <t xml:space="preserve">Parkfenntartás és egyéb közterület kezelési feladatok bonyolítási költségei </t>
    </r>
  </si>
  <si>
    <t>4. Kamatbevétel</t>
  </si>
  <si>
    <t>5. ÁFA bevétel, visszatérülés</t>
  </si>
  <si>
    <t>Budapest  XXI. Kerület Csepel Önkormányzata</t>
  </si>
  <si>
    <t>Budapest  XXI. Kerület Csepel Önkormányzata Csepeli Egészségügyi Szolgálat részben önállóan gazdálkodó intézményei</t>
  </si>
  <si>
    <t>Budapest  XXI. Kerület Csepel Bolgár Kisebbségi Önkormányzat 2007.évi költségvetésének mérlege</t>
  </si>
  <si>
    <t>Budapest XXI. Kerület Csepel Cigány Kisebbségi Önkormányzat 2007.évi költségvetésének mérlege</t>
  </si>
  <si>
    <t>Budapest  XXI. Kerület Csepel Német Kisebbségi Önkormányzat 2007.évi költségvetésének mérlege</t>
  </si>
  <si>
    <t>Budapest  XXI. Kerület Csepel Örmény Kisebbségi Önkormányzat 2007.évi költségvetésének mérlege</t>
  </si>
  <si>
    <t>Budapest  XXI. Kerület Csepel Görög Kisebbségi Önkormányzat 2007.évi költségvetésének mérlege</t>
  </si>
  <si>
    <t>Budapest  XXI. Kerület Csepel Lengyel Kisebbségi Önkormányzat 2007.évi költségvetésének mérlege</t>
  </si>
  <si>
    <t>Budapest  XXI. Kerület Csepel Román Kisebbségi Önkormányzat 2007.évi költségvetésének mérlege</t>
  </si>
  <si>
    <t>Budapest  XXI. Kerület Csepel Ruszin Kisebbségi Önkormányzat 2007.évi költségvetésének mérlege</t>
  </si>
  <si>
    <t>Füves utca</t>
  </si>
  <si>
    <t>MFB fejlesztési hitel</t>
  </si>
  <si>
    <t xml:space="preserve">Luxusadó </t>
  </si>
  <si>
    <t>Önkormányzati sajátos felhalmozási és tőke bevételek (18-19-ig)</t>
  </si>
  <si>
    <t>Egyéb sajátos folyó bevételek (12-17-ig)</t>
  </si>
  <si>
    <t>Központi költségvetési támogatás (20-24-ig)</t>
  </si>
  <si>
    <t>Működési célú támogatásértékű bevételek, átvett pénzeszközök (25-28-ig)</t>
  </si>
  <si>
    <t>Felhalmozási célú támogatásértékű bevételek, átvett pénzeszközök (29-30-ig)</t>
  </si>
  <si>
    <t>37.</t>
  </si>
  <si>
    <t>Fővárosi Gázművek Rt.</t>
  </si>
  <si>
    <t>-Egyéb külföldinek</t>
  </si>
  <si>
    <t>ebből: előző évi pénzmaradvány</t>
  </si>
  <si>
    <t>2. Intézményi működéshez kapcsolódó egyéb bevételek</t>
  </si>
  <si>
    <t>3. Továbbszámlázott szolg. bevétele</t>
  </si>
  <si>
    <t>Költségvetési bevételek összesen:</t>
  </si>
  <si>
    <t>XI.</t>
  </si>
  <si>
    <t>Kerületi  beruházás összesen</t>
  </si>
  <si>
    <t>BVM terület szabályozási terv készítés</t>
  </si>
  <si>
    <t xml:space="preserve">II. </t>
  </si>
  <si>
    <t>Önkormányzati általános tartalék</t>
  </si>
  <si>
    <t>Saját vagy bérelt ingatlan hasznosítása</t>
  </si>
  <si>
    <t>Önkormányzati igazgatási tevékenység</t>
  </si>
  <si>
    <t>Polgármesteri Hivatal összesen</t>
  </si>
  <si>
    <t>Kiadások</t>
  </si>
  <si>
    <t>Személyi juttatás</t>
  </si>
  <si>
    <t>Munkaadókat terhelő járulékok</t>
  </si>
  <si>
    <t>Dologi kiadás</t>
  </si>
  <si>
    <t>Oktatási Szolgáltató Intézmény</t>
  </si>
  <si>
    <t>Helyi közutak, hidak létesítése, felújítása</t>
  </si>
  <si>
    <t>- Zöldfelület, park és berendezései felújítása</t>
  </si>
  <si>
    <t>- Útfelújítás</t>
  </si>
  <si>
    <t>- Kerületi beruházás</t>
  </si>
  <si>
    <t>- Ápolási díj</t>
  </si>
  <si>
    <t>- Lakásfenntartási támogatás</t>
  </si>
  <si>
    <t>- Átmeneti szociális segély</t>
  </si>
  <si>
    <t xml:space="preserve">Helyi Kisebbségi Önkormányzatok </t>
  </si>
  <si>
    <t>Születési támogatás</t>
  </si>
  <si>
    <t>ebből: képviselői, bizottsági kiadások</t>
  </si>
  <si>
    <t>- Szociálpolitikai és egyéb pénzbeli juttatások</t>
  </si>
  <si>
    <t>Csepeli Gyermekekért Alapítvány</t>
  </si>
  <si>
    <t>Pénzkészlet,ktgvetési függő,átfutó kiegy.kiad.</t>
  </si>
  <si>
    <t>Sor- sz.</t>
  </si>
  <si>
    <t>Intézmény- Szakfeladat - Cím</t>
  </si>
  <si>
    <t>Feladat</t>
  </si>
  <si>
    <t>- Egyéb külföldinek</t>
  </si>
  <si>
    <t xml:space="preserve">Költségvetési szervnek folyósított támogatás </t>
  </si>
  <si>
    <t>- Műk.célú pe.átadás nem pénzügyi vállalkozásnak</t>
  </si>
  <si>
    <t xml:space="preserve">- Felhalm.célú pénzeszközátadás egyéb vállalkozásnak  </t>
  </si>
  <si>
    <t>Egyéb felhalmozás</t>
  </si>
  <si>
    <t>- Méltányossági közgyógyellátás</t>
  </si>
  <si>
    <t>Bursa Hungarica felsőoktatási ösztöndíjrendszer</t>
  </si>
  <si>
    <t xml:space="preserve">Ellátottak pénzbeli juttatása mindösszesen: </t>
  </si>
  <si>
    <t>Rendszeres szociális segély aktívkorú egészségkárosodott személyeknek</t>
  </si>
  <si>
    <t>Rendszeres szociális segély aktívkorú nem foglalkoztatott személyeknek</t>
  </si>
  <si>
    <t xml:space="preserve">Rendszeres szociális segély aktívkorú támogatott álláskereső személyek részére </t>
  </si>
  <si>
    <t>2008. évi felújítások tervezése</t>
  </si>
  <si>
    <t>Nyugdíjasház (Simon Bolivár sétány)</t>
  </si>
  <si>
    <t>Erdősor u. ltp. +  kiserdő szabályozási terv készítése</t>
  </si>
  <si>
    <t>Homlokzat, üvegfal, előtetők felújítása</t>
  </si>
  <si>
    <t>- Kártalanítások</t>
  </si>
  <si>
    <t>- Rendszeres szociális segély aktívkorú egészségkárosodott személyeknek</t>
  </si>
  <si>
    <t>- Rendszeres szociális segély aktívkorú nem foglalkoztatott személyeknek</t>
  </si>
  <si>
    <t xml:space="preserve">- Rendszeres szociális segély aktívkorú támogatott álláskereső személyek részére </t>
  </si>
  <si>
    <t>közművelődési intézmények valamint a tömegsport céljára szolgáló és használt építmények, műemléképítmények, az építmény üzemeltetéséhez szükséges épületgépészeti berendezések elhelyezésére szolgáló helyiségek.</t>
  </si>
  <si>
    <t>- munkaadói járulék</t>
  </si>
  <si>
    <t>- egészségügyi hozzájárulás</t>
  </si>
  <si>
    <t>- társadalombiztosítási járulék</t>
  </si>
  <si>
    <t>Egyéb felhalm. bevétel</t>
  </si>
  <si>
    <t>II. Felhalmozási kiadások</t>
  </si>
  <si>
    <t>Műk.célú átvett pe. államh. kívülről</t>
  </si>
  <si>
    <t>Költségvetési hiány finanszírozása összesen            (33-37-ig)</t>
  </si>
  <si>
    <t>Egészségügyi Ágazat létszámcsökkentés</t>
  </si>
  <si>
    <t>Zrínyi u.1.-2/a., Nap u. 6-8.</t>
  </si>
  <si>
    <t>FSZKT módosítás hatástanulmány (Csepel-szigeti Gerincút és Tehermentesítő út összekötésére)</t>
  </si>
  <si>
    <t>A volt Csepel Művek területén kijelölt utak önkormányzati tulajdonba vételét megalapozó tervek készítése</t>
  </si>
  <si>
    <t>Önkormányzati képviselő választások</t>
  </si>
  <si>
    <t>Különféle bírságok, pótlékok és egyéb sajátos bevételek</t>
  </si>
  <si>
    <t>Normatív támogatások</t>
  </si>
  <si>
    <t xml:space="preserve">Előző évi  pénzmaradvány  igénybevétele </t>
  </si>
  <si>
    <t>Önkormányzatok elszámolásai</t>
  </si>
  <si>
    <t>- Felhalm. célú pe.átadás non-profit szervezeteknek</t>
  </si>
  <si>
    <t>- Felhalm. célú pe.átad.önkorm.nem pü.vállalk-nak</t>
  </si>
  <si>
    <t>Támogató szervezet megnevezés</t>
  </si>
  <si>
    <t>Nagy Imre Általános Művelődési Központ</t>
  </si>
  <si>
    <t>Felügyeleti szervtől kapott támogatás   (intézmény finanszírozás)</t>
  </si>
  <si>
    <t>Fejlesztési hitel - lakásépítési hitel</t>
  </si>
  <si>
    <t>Fejlesztési hitel - célhitel</t>
  </si>
  <si>
    <t>Csepeli Egészségügyi Szolgálat</t>
  </si>
  <si>
    <t>1.</t>
  </si>
  <si>
    <t>2.</t>
  </si>
  <si>
    <t>3.</t>
  </si>
  <si>
    <t>Útépítés</t>
  </si>
  <si>
    <t>- Felhalm.célú pénzeszk.átadás államháztartáson kívülre</t>
  </si>
  <si>
    <t>- Állami (önkorm.) nem pénzügyi vállalk.-nak</t>
  </si>
  <si>
    <t>Országgyűlési képviselő választások</t>
  </si>
  <si>
    <t>- Belföldi hitelműveletek kiadásai</t>
  </si>
  <si>
    <t>- Rövidlejáratú hitelek visszafizetése, törlesztése</t>
  </si>
  <si>
    <t>- Áthúzódó kötelezettségek előző évről</t>
  </si>
  <si>
    <t>- Céltartalék</t>
  </si>
  <si>
    <t xml:space="preserve">Polgármesteri Hivatal </t>
  </si>
  <si>
    <t>Önkormányzat sajátos működési bevételei (A+B+C+D)</t>
  </si>
  <si>
    <t>- Lakhatási segély</t>
  </si>
  <si>
    <t>Oktatási ágazat összesen</t>
  </si>
  <si>
    <t xml:space="preserve">      </t>
  </si>
  <si>
    <t>34.</t>
  </si>
  <si>
    <t>35.</t>
  </si>
  <si>
    <t>G.</t>
  </si>
  <si>
    <t>Felhalmozási és tőkejellegű bevételek (E+F+G)</t>
  </si>
  <si>
    <t>- munkaadókat terhelő járulékok</t>
  </si>
  <si>
    <t>H.</t>
  </si>
  <si>
    <t>Véglegesen átvett  pénzeszközök (H+I)</t>
  </si>
  <si>
    <t>Felhalm.célra nyújtott kölcsön visszatér., értékpapírok értékesít., kibocsátásának bev.</t>
  </si>
  <si>
    <t>Működési bevételek összesen (1-12-ig)</t>
  </si>
  <si>
    <t>Karácsony Sándor Általános Iskola</t>
  </si>
  <si>
    <t>Kék Általános Iskola</t>
  </si>
  <si>
    <t>Radnóti Miklós Művelődési Ház</t>
  </si>
  <si>
    <t>Sor-szám</t>
  </si>
  <si>
    <t>ÁFA bevételek, visszatérülések</t>
  </si>
  <si>
    <t>2007.évi népszavazás</t>
  </si>
  <si>
    <t>Városközpont - 4 telek tender dokumentáció készítése</t>
  </si>
  <si>
    <t>Bevétel mindösszesen</t>
  </si>
  <si>
    <t>Pénzforgalom nélküli bevételek összesen (19-20-ig)</t>
  </si>
  <si>
    <t>Költségvetési kiadások összesen I+…+IV)</t>
  </si>
  <si>
    <t>Kiadás mindösszesen</t>
  </si>
  <si>
    <t xml:space="preserve">Finanszírozási kiadás összesen </t>
  </si>
  <si>
    <t xml:space="preserve">Kiadások összesen </t>
  </si>
  <si>
    <t xml:space="preserve">Kiadások mindösszesen </t>
  </si>
  <si>
    <t>Felhalmozási célra nyújtott kölcsön visszatér., értékpapírok értékesítésének kibocsátásának bevétele</t>
  </si>
  <si>
    <t>Pénzbeli szociális  juttatások</t>
  </si>
  <si>
    <t>Fogyatékos és demens személyek nappali intézményi ellátása</t>
  </si>
  <si>
    <t>392/2006.(IX.19) Kt. sz. határozat</t>
  </si>
  <si>
    <t>Európai Gazdasági Térség és a Norvég Finanszírozási Mechanizmus keretében kiírt pályázati önrész</t>
  </si>
  <si>
    <t>120/2004.(III.23). Kt.sz.határozat</t>
  </si>
  <si>
    <t>138/2004.(XI.25) VKB.sz.határozat</t>
  </si>
  <si>
    <t>2007. évi kiadásainak és bevételeinek alakulása</t>
  </si>
  <si>
    <t>Szoc.pol.és egyéb pénzb. juttatás</t>
  </si>
  <si>
    <t>Műk.célú támog. értékű bevétel</t>
  </si>
  <si>
    <t>Önkorm. Lakások értékesítése</t>
  </si>
  <si>
    <t>Ingatlanértékesítés</t>
  </si>
  <si>
    <t>Ábrahámné</t>
  </si>
  <si>
    <t>Felhalmozási és tőke bevétel össz.</t>
  </si>
  <si>
    <t>Műk.célú pe. átadás</t>
  </si>
  <si>
    <t>Műk.célú támog.ért.kiadás</t>
  </si>
  <si>
    <t>Felh.célú támog. ért. kiadás</t>
  </si>
  <si>
    <t>Hosszú  lejáratú kötelezettségek</t>
  </si>
  <si>
    <t>Felh.célú támogási kölcsön</t>
  </si>
  <si>
    <t>Közterület felügyelet</t>
  </si>
  <si>
    <t>Szabálysértés</t>
  </si>
  <si>
    <t>Térfigyelő</t>
  </si>
  <si>
    <t xml:space="preserve">Műk.c.támog.ért.kiadás: </t>
  </si>
  <si>
    <t>Városüzemeltetés</t>
  </si>
  <si>
    <t>Beruházási Iroda</t>
  </si>
  <si>
    <t>Felhalmozási kiadások és pénzügyi befektetések összesen (7+…+11)</t>
  </si>
  <si>
    <t>Tartalék összesen (12+13+14)</t>
  </si>
  <si>
    <t>5. Ellátottak pénzbeli juttatásai</t>
  </si>
  <si>
    <t>Működés célú támogatásértékű kiadások összesen:</t>
  </si>
  <si>
    <t>Önállóan gazdálkodó intézmények összesen:</t>
  </si>
  <si>
    <t>Működés célú pénzeszköz átadások államháztartáson kívülre összesen:</t>
  </si>
  <si>
    <t>Felhalmozás célú támogatásértékű kiadások összesen:</t>
  </si>
  <si>
    <t>Felhalmozás célú pénzeszköz átadások államháztartáson kívülre összesen:</t>
  </si>
  <si>
    <t>Költségvetési hiány finanszírozása összesen                (21-25-ig)</t>
  </si>
  <si>
    <t xml:space="preserve">Költségvetési kiadás összesen </t>
  </si>
  <si>
    <t xml:space="preserve">Bevételek összesen </t>
  </si>
  <si>
    <t>24.</t>
  </si>
  <si>
    <t>25.</t>
  </si>
  <si>
    <t>IV.</t>
  </si>
  <si>
    <t>26.</t>
  </si>
  <si>
    <t>Idegenforgalmi adó</t>
  </si>
  <si>
    <t>27.</t>
  </si>
  <si>
    <t>Kötött felhasználással támogatott közoktatási és szociális feladatok ellátására</t>
  </si>
  <si>
    <t>Mélyépítőipar</t>
  </si>
  <si>
    <t>Kamatbevétel</t>
  </si>
  <si>
    <t>Jedlik Ányos Gimnázium</t>
  </si>
  <si>
    <t>Nevelési Tanácsadó</t>
  </si>
  <si>
    <t>Népművészeti és Kézműves Óvoda</t>
  </si>
  <si>
    <t>Erdei Óvodák</t>
  </si>
  <si>
    <t>36.</t>
  </si>
  <si>
    <t>IX.</t>
  </si>
  <si>
    <t>X.</t>
  </si>
  <si>
    <t xml:space="preserve">Kiadás összesen </t>
  </si>
  <si>
    <t xml:space="preserve">Központosított előirányzatok </t>
  </si>
  <si>
    <t>Működési hitel (hiány)</t>
  </si>
  <si>
    <t>Szolgálati lakások értékesítésének elszámolása</t>
  </si>
  <si>
    <t>Duna u. 24. nyugdíjasház 24. órás nővérszolgálat</t>
  </si>
  <si>
    <t>Országos Egészségbiztosítási Pénztár</t>
  </si>
  <si>
    <t xml:space="preserve">Csepeli Egészségügyi Szolgálat összesen: </t>
  </si>
  <si>
    <t xml:space="preserve">Elámen Rt. </t>
  </si>
  <si>
    <t xml:space="preserve">Herman Ottó Általános Iskola összesen: </t>
  </si>
  <si>
    <t>Idegenforgalmi adó, üdülőhelyi díj</t>
  </si>
  <si>
    <t>Működés célú pénzeszköz átvétel államháztartáson kívülről</t>
  </si>
  <si>
    <t xml:space="preserve">Működés célú pénzeszköz átvétel államháztartáson kívülről összesen: </t>
  </si>
  <si>
    <t>Önkormányzati igazgatási tevékenység összesen (1-4-ig)</t>
  </si>
  <si>
    <t xml:space="preserve">ebből: </t>
  </si>
  <si>
    <t>Tűzoltók, Rendőrség jutalmazása</t>
  </si>
  <si>
    <t xml:space="preserve">- Támogatási kölcsön </t>
  </si>
  <si>
    <t>- Működés célú támogatási kölcsön törlesztése</t>
  </si>
  <si>
    <t>- Felhalmozás célú támogatási kölcsön folyósítása</t>
  </si>
  <si>
    <t>Támogatási kölcsön</t>
  </si>
  <si>
    <t>Működés célú támogatási kölcsön törlesztés</t>
  </si>
  <si>
    <t>2006. évi módosított előirányzat</t>
  </si>
  <si>
    <t>Zöldfelület, park és berendezései felújítása</t>
  </si>
  <si>
    <t>Állami támogatásból ingyenes tankönyv támogatás</t>
  </si>
  <si>
    <t>Középiskolások önkormányzati tankönyvtámogatása</t>
  </si>
  <si>
    <t>Normatív ápolási díj</t>
  </si>
  <si>
    <t>Napköziotthonos Óvoda Jupiter 24/a.</t>
  </si>
  <si>
    <t>Kerekvilág Napköziotthonos Óvoda</t>
  </si>
  <si>
    <t>Napsugár Napköziotthonos Óvoda</t>
  </si>
  <si>
    <t xml:space="preserve">Napköziotthonos Óvoda Vénusz u. </t>
  </si>
  <si>
    <t>Szivárvány Napköziotthonos Óvoda</t>
  </si>
  <si>
    <t xml:space="preserve">Napköziotthonos Óvoda Szabadság u. </t>
  </si>
  <si>
    <t>Napköziotthonos Óvoda Erdősor 110.</t>
  </si>
  <si>
    <t>Gyermekláncfű Napköziotthonos Óvoda</t>
  </si>
  <si>
    <t>Aprajafalva Napköziotthonos Óvoda</t>
  </si>
  <si>
    <t>Egyesített Bölcsődék</t>
  </si>
  <si>
    <t>Farsang Árpád Zeneiskola</t>
  </si>
  <si>
    <t>Pedagógiai Szakmai Szolgáltató Intézmény</t>
  </si>
  <si>
    <t xml:space="preserve">Tanuszoda </t>
  </si>
  <si>
    <t>Csepel Galéria és Helytörténeti Gyűjtemény</t>
  </si>
  <si>
    <t xml:space="preserve">Oktatási Szolgáltató Intézmény önként vállalt feladatai összesen: </t>
  </si>
  <si>
    <t>Óvodai nevelés, közétkeztetés</t>
  </si>
  <si>
    <t>Intézményi vagyon működtetése</t>
  </si>
  <si>
    <t>Egyéb kiegészítő tevékenység</t>
  </si>
  <si>
    <t>Intézményi étkeztetés vállalkozási tevékenységként</t>
  </si>
  <si>
    <t>Sajátos nevelési igényű tanulók nappali rendszerű általános iskolai nevelés oktatás</t>
  </si>
  <si>
    <t>Alapfokú Művészeti Oktatás</t>
  </si>
  <si>
    <t xml:space="preserve">Nagy Imre Általános Művelődési Központ önként vállalt feladatai összesen: </t>
  </si>
  <si>
    <t>Kiegészítő alapellátás szolgáltatás</t>
  </si>
  <si>
    <t>Járóbetegek gondozóintézeti ellátása</t>
  </si>
  <si>
    <t>Foglalkozás egészségügyi ellátás</t>
  </si>
  <si>
    <t>- Kiegészítő gyermekvédelmi támogatás</t>
  </si>
  <si>
    <t>- Rendszeres gyermekvédelmi kedvezmény</t>
  </si>
  <si>
    <t>Kisebbségi Önkormányzat</t>
  </si>
  <si>
    <t>ebből: vizitdíj</t>
  </si>
  <si>
    <t>Lakbértámogatás</t>
  </si>
  <si>
    <t>Szociális helyzetfelmérésre</t>
  </si>
  <si>
    <t>Háziorvosok támogatása IV.hótól pályáztatással</t>
  </si>
  <si>
    <t>- Lakbértámogatás</t>
  </si>
  <si>
    <t>Működési kiadások összesen (1+…+6)</t>
  </si>
  <si>
    <t>ebből: tárgyévi hiány</t>
  </si>
  <si>
    <t xml:space="preserve">              normatív kötött támogatás (ped.szaksz.)</t>
  </si>
  <si>
    <t>Szociálpolitikai és egyéb pénzbeli juttatások</t>
  </si>
  <si>
    <t>Kiadások összesen</t>
  </si>
  <si>
    <t>Normatív módon elosztott kötött felhasználású központi támogatások</t>
  </si>
  <si>
    <t>- Személyi juttatás</t>
  </si>
  <si>
    <t>- Munkaadókat terhelő járulékok</t>
  </si>
  <si>
    <t>- Dologi kiadás</t>
  </si>
  <si>
    <t>- Intézményi felújítás</t>
  </si>
  <si>
    <t>- Egyéb felhalmozási kiadás</t>
  </si>
  <si>
    <t>Intézmények összesen</t>
  </si>
  <si>
    <t>- Egyéb munkaadói járulék</t>
  </si>
  <si>
    <t xml:space="preserve">Szociális és Egészségügyi Ágazat Semmelweis Napi polgármesteri jutalmak </t>
  </si>
  <si>
    <t>Általános Iskola napközi foglalkozás</t>
  </si>
  <si>
    <t>Időskorúak nappali intézményi ellátása</t>
  </si>
  <si>
    <t>Szociális és gyermekvédelmi bentlakásos és átmeneti elhelyezés</t>
  </si>
  <si>
    <t>Szociális továbbképzés és szakvizsga (bölcsőde)</t>
  </si>
  <si>
    <t>Aktívkorúak rendszeres szociális segélye</t>
  </si>
  <si>
    <t>Hozzájár. pedagógiai szakmai szolgáltatások igénybevételéhez</t>
  </si>
  <si>
    <t>Céltartalékok összesen: (1-28-ig)</t>
  </si>
  <si>
    <t xml:space="preserve">Rendszeres szociális pénzbeli ellátások összesen: </t>
  </si>
  <si>
    <t xml:space="preserve">Eseti pénzbeli szociális ellátások összesen: </t>
  </si>
  <si>
    <t xml:space="preserve">Eseti pénzbeli gyermekvédelmi ellátások </t>
  </si>
  <si>
    <t>- Szociális továbbképzés és szakvizsga (bölcsőde)</t>
  </si>
  <si>
    <t>Önkormányzati lakótelek értékesítés</t>
  </si>
  <si>
    <t>Tartalékok mindösszesen: (I+II+III)</t>
  </si>
  <si>
    <t>Csepeli Polgárőrség</t>
  </si>
  <si>
    <t>Önkormányzati egyéb helyiségek bérbevétele</t>
  </si>
  <si>
    <t>Működés célú pénzeszközátvétel államháztartáson kívülről</t>
  </si>
  <si>
    <t>Felhalmozás célú pénzeszközátvétel államháztartáson kívülről</t>
  </si>
  <si>
    <t>Működés célú támogatási kölcsön</t>
  </si>
  <si>
    <t xml:space="preserve">Előző évi  vállalkozási eredmény  igénybevétele </t>
  </si>
  <si>
    <t>Támogatási kölcsön összesen</t>
  </si>
  <si>
    <t>Nem szociális bérlakások elkülönített számláinak tartaléka</t>
  </si>
  <si>
    <t>Pedagógiai szakmai szolgáltatás</t>
  </si>
  <si>
    <t>Előző évi  pénzmaradvány  igénybevétele</t>
  </si>
  <si>
    <t>Előző évi  vállalkozási eredmény  igénybevétele</t>
  </si>
  <si>
    <t>- Otthonmegőrzési támogatás</t>
  </si>
  <si>
    <t>- Műk.célú pe. átadás államháztartáson kívülre</t>
  </si>
  <si>
    <t>- Felhalm.célú pénzeszk.átadás non-profit szervezeteknek</t>
  </si>
  <si>
    <t>- Műk.célú pénzeszk.átadás államháztartáson kívülre</t>
  </si>
  <si>
    <t>Működés célú támogatásértékű bevételek, átvett pénzeszközök összesen:  (I-II.)</t>
  </si>
  <si>
    <t>2007. évi támogatásértékű bevételek és átvett pénzeszközök előirányzatai</t>
  </si>
  <si>
    <t xml:space="preserve">Eseti pénzbeli gyermekvédelmi ellátások  összesen: </t>
  </si>
  <si>
    <t>Átengedett központi adók</t>
  </si>
  <si>
    <t>Felhalmozási kiadások összesen:</t>
  </si>
  <si>
    <t>Kiadások mindösszesen:</t>
  </si>
  <si>
    <t>Bevételek ezer Ft-ban</t>
  </si>
  <si>
    <t>Bevételek mindösszesen:</t>
  </si>
  <si>
    <t>Mindösszesen</t>
  </si>
  <si>
    <t>Általános tartalékok összesen: (1-2-ig)</t>
  </si>
  <si>
    <t>Szociálpolitikai és egyéb pénzbeli  juttatások</t>
  </si>
  <si>
    <t>Továbbszámlázott szolgáltatások bevétele</t>
  </si>
  <si>
    <t>ebből ÁFA</t>
  </si>
  <si>
    <t>3/a.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</si>
  <si>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</si>
  <si>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</si>
  <si>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</si>
  <si>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</si>
  <si>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</si>
  <si>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</si>
  <si>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</si>
  <si>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</si>
  <si>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</si>
  <si>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</si>
  <si>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Költségvetési létszámkeret</t>
  </si>
  <si>
    <t>- Szociális továbbképzés és szakvizsga</t>
  </si>
  <si>
    <t>3/c.</t>
  </si>
  <si>
    <t>Felújítás összesen (1-2-ig)</t>
  </si>
  <si>
    <t>Homlokzat felújítás</t>
  </si>
  <si>
    <t>Átmeneti szociális segély</t>
  </si>
  <si>
    <t>Csepeli Gondozási Központ</t>
  </si>
  <si>
    <t>Felhalmozás célú pénzeszköz átadás államháztartáson kívülre</t>
  </si>
  <si>
    <t>Költségvetési szervnek nyújtott támogatás (intézmény finanszírozás) miatti korrekció</t>
  </si>
  <si>
    <t xml:space="preserve">Tartalék </t>
  </si>
  <si>
    <t xml:space="preserve">Bevételek összesen: </t>
  </si>
  <si>
    <t>Áthúzódó kötelezettségek előző évről</t>
  </si>
  <si>
    <t>Magasépítőipari tevékenység (tervezések)</t>
  </si>
  <si>
    <t>- Rendkívüli gyermekvédelmi támogatás</t>
  </si>
  <si>
    <t>33.</t>
  </si>
  <si>
    <t>Céltartalékok</t>
  </si>
  <si>
    <t>VIII.</t>
  </si>
  <si>
    <t>Kiadások összesen:</t>
  </si>
  <si>
    <t>Különféle bírságok</t>
  </si>
  <si>
    <t>Helyi adók összesen</t>
  </si>
  <si>
    <t>önállóan gazdálkodók és kiemelt tételek szerint</t>
  </si>
  <si>
    <t>c</t>
  </si>
  <si>
    <t>Herman Ottó Általános Iskola</t>
  </si>
  <si>
    <t>1997. évi eredeti ei</t>
  </si>
  <si>
    <t>Királyerdei Művelődési Ház</t>
  </si>
  <si>
    <t>Polgármesteri Hivatal</t>
  </si>
  <si>
    <t xml:space="preserve">Civil szervezetek pályázatára </t>
  </si>
  <si>
    <t>a./</t>
  </si>
  <si>
    <t>b./</t>
  </si>
  <si>
    <t>Intézményi bevételek összesen</t>
  </si>
  <si>
    <t>32.</t>
  </si>
  <si>
    <t>- Működés célú pénzeszköz átadás államháztart. kívülre</t>
  </si>
  <si>
    <t>- Hosszúlejáratú hitelek visszafiz. törlesztése</t>
  </si>
  <si>
    <t>Helyi adók összesen (6-8-ig)</t>
  </si>
  <si>
    <t>Átengedett központi adók (9-11-ig)</t>
  </si>
  <si>
    <t xml:space="preserve">- Tartalék </t>
  </si>
  <si>
    <t xml:space="preserve">- Költségvetési szervnek folyósított támogatás </t>
  </si>
  <si>
    <t>Bevétel összesen</t>
  </si>
  <si>
    <t>Alcím</t>
  </si>
  <si>
    <t>Intézmény neve</t>
  </si>
  <si>
    <t>Csepeli Családsegítő Szolgálat</t>
  </si>
  <si>
    <t>Csepeli Gyermekjóléti Szolgálat</t>
  </si>
  <si>
    <t>Alaptevékenység szakfeladat száma</t>
  </si>
  <si>
    <t>Gazdálkodási jogkör szerint</t>
  </si>
  <si>
    <t>részben önállóan gazdálkodó intézmény</t>
  </si>
  <si>
    <t>Előirányzat megnevezése</t>
  </si>
  <si>
    <t>Költségvetési létszámkeret főben</t>
  </si>
  <si>
    <t>Kiadások ezer Ft-ban</t>
  </si>
  <si>
    <t>1. Személyi juttatás</t>
  </si>
  <si>
    <t>VI.</t>
  </si>
  <si>
    <t>VII.</t>
  </si>
  <si>
    <t>Intézményi működési bevételek (1-5-ig)</t>
  </si>
  <si>
    <t xml:space="preserve">Intézményi működéshez kapcsolódó egyéb bevételek </t>
  </si>
  <si>
    <t xml:space="preserve">Pénzügyi befektetések bevételei </t>
  </si>
  <si>
    <t>ebből: normatív állami támogatás</t>
  </si>
  <si>
    <t>6,7. Működés célú támogatásértékű bevételek, átvett pénzeszközök</t>
  </si>
  <si>
    <t>8,9. Felhalmozás célú támogatásértékű bevételek, átvett pénzeszközök</t>
  </si>
  <si>
    <t>10. Felhalmozás és tőke jellegű bevétel</t>
  </si>
  <si>
    <t>11. Előző évi pénzmaradvány</t>
  </si>
  <si>
    <t>12. Önkormányzati támogatás</t>
  </si>
  <si>
    <t>8. Felhalmozás célú támogatásértékű kiadások, pénzeszköz átadások</t>
  </si>
  <si>
    <t>6. Intézményi felújítás</t>
  </si>
  <si>
    <t>7. Egyéb felhalmozási kiadás</t>
  </si>
  <si>
    <t>Közművelődési feladatok  támogatása</t>
  </si>
  <si>
    <t xml:space="preserve">2007. évre tervezett kiadások mindösszesen: </t>
  </si>
  <si>
    <t>Kamatbevételek</t>
  </si>
  <si>
    <t>I.</t>
  </si>
  <si>
    <t>Iparűzési adó</t>
  </si>
  <si>
    <t>A.</t>
  </si>
  <si>
    <t>Normatív módon átengedett SZJA</t>
  </si>
  <si>
    <t>Gépjárműadó</t>
  </si>
  <si>
    <t>B.</t>
  </si>
  <si>
    <t>14.</t>
  </si>
  <si>
    <t>15.</t>
  </si>
  <si>
    <t>UNDP-2006-1,2,3,4 jelű megvalósíthatósági tanulmány pályázathoz önrész</t>
  </si>
  <si>
    <t>Csepel SC  támogatása</t>
  </si>
  <si>
    <t>Kerület zöldfelület fejlesztési és játszótér fejlesztési program</t>
  </si>
  <si>
    <t>Útépítési program javaslat</t>
  </si>
  <si>
    <t>1. Működési célú állami hozzájárulás</t>
  </si>
  <si>
    <t>2. Működés célú támogatásértékű bevételek, átvett pénzeszközök</t>
  </si>
  <si>
    <t>- Egyéb működési célú támogatás értékű bevételek, átvett pénzeszközök</t>
  </si>
  <si>
    <t>3. Önkormányzat működési és  sajátos működési bevételei</t>
  </si>
  <si>
    <t>- Helyi adók összesen</t>
  </si>
  <si>
    <t>- Átengedett központi adók</t>
  </si>
  <si>
    <t>4. Működési költségvetés bevételei (1+2+3)</t>
  </si>
  <si>
    <t>5. Folyó működési kiadások összesen :</t>
  </si>
  <si>
    <t>6. Működési forráshiány (4-5)</t>
  </si>
  <si>
    <t>7. Felhalmozás célú állami hozzájárulás</t>
  </si>
  <si>
    <t>8. Felhalmozási és tőke jellegű bevételek</t>
  </si>
  <si>
    <t>9. Felhalmozás célú támogatásértékű bevételek, átvett pénzeszközök</t>
  </si>
  <si>
    <t>10. Felhalmozási célra nyújtott kölcsön visszatérülése</t>
  </si>
  <si>
    <t>11. Fejlesztési hitel</t>
  </si>
  <si>
    <t>12. Felhalmozási költségvetés bevételei összesen (7-11-ig)</t>
  </si>
  <si>
    <t>önként vállalt feladatainak bemutatása</t>
  </si>
  <si>
    <t>Csete Balázs Középiskola</t>
  </si>
  <si>
    <t>Hétszinvirág Napköziotthonos Óvoda</t>
  </si>
  <si>
    <t>Tátika Napköziotthonos Óvoda</t>
  </si>
  <si>
    <t>Kádár Katalin Napköziotthonos Óvoda</t>
  </si>
  <si>
    <t>Járóbetegek  szakorvosi ellátása</t>
  </si>
  <si>
    <t>Egészségügyi egységek kiadásai</t>
  </si>
  <si>
    <t>Költségvetési szervek egyéb kiegészítő tevékenysége</t>
  </si>
  <si>
    <t xml:space="preserve">Csepeli Egészségügyi Szolgálat önként vállalt feladatai összesen: </t>
  </si>
  <si>
    <t>Karácsony Sándor Általános Iskola önként vállalt feladatai összesen:</t>
  </si>
  <si>
    <t>Herman Ottó Általános Iskola önként vállalt feladatai összesen:</t>
  </si>
  <si>
    <t>Kék Általános Iskola önként vállalat feladatai összesen:</t>
  </si>
  <si>
    <t>Művelődési központok házak tevékenysége</t>
  </si>
  <si>
    <t xml:space="preserve">Radnóti Miklós Művelődési Ház önként vállalt feladatai összesen: </t>
  </si>
  <si>
    <t xml:space="preserve">Királyerdei Művelődési Ház önként vállalt feladatai összesen: </t>
  </si>
  <si>
    <t>Működés célú pénzeszköz átadások államháztartáson kívülre (lásd 2/b.számú mellékletet)</t>
  </si>
  <si>
    <t>Felhalmozás célú pénzeszköz átadások államháztartáson kívülre (lásd 2/b.számú mellékletet)</t>
  </si>
  <si>
    <t>- Önkormányzati tagdíjak</t>
  </si>
  <si>
    <t>- Controll Rt.  Minőségügyi tanácsadás díja</t>
  </si>
  <si>
    <t>- Ügyvédi és egyéb szerződések díja</t>
  </si>
  <si>
    <t>- Testvérvárosi kapcsolat, külföldi kiküldetés</t>
  </si>
  <si>
    <t>- Reklám és propaganda (rendezvények)</t>
  </si>
  <si>
    <t xml:space="preserve">- Felsőoktatási ösztöndíjrendszer </t>
  </si>
  <si>
    <t>Általános tartalék</t>
  </si>
  <si>
    <t>- Polgármesteri tartalék</t>
  </si>
  <si>
    <t>- Civil szervezetek pályázatára</t>
  </si>
  <si>
    <t>- Kisebbségi Önkormányzatoknak pályázati összeg</t>
  </si>
  <si>
    <t>- Ifjúsági feladatok támogatására</t>
  </si>
  <si>
    <t>Kerületi beruházás (lásd 5.számú melléklet)</t>
  </si>
  <si>
    <t>Polgármesteri Hivatal önként vállalt feladatai összesen:</t>
  </si>
  <si>
    <t xml:space="preserve">Önként vállalt feladatok mindösszesen: </t>
  </si>
  <si>
    <t>Bolgár</t>
  </si>
  <si>
    <t>Cigány</t>
  </si>
  <si>
    <t>Görög</t>
  </si>
  <si>
    <t>Német</t>
  </si>
  <si>
    <t>Örmény</t>
  </si>
  <si>
    <t>Román</t>
  </si>
  <si>
    <t>Ruszin</t>
  </si>
  <si>
    <t>Helyi Kisebbségi Önkormányzatok együtt</t>
  </si>
  <si>
    <t>2007. évi várható bevételi és kiadási előirányzat-felhasználási ütemterve</t>
  </si>
  <si>
    <t>2007. évi eredeti előirányzat</t>
  </si>
  <si>
    <t>2009.évi várható előirányzat</t>
  </si>
  <si>
    <t>2009.évi  várható előirányzat</t>
  </si>
  <si>
    <t>2005.évi teljesítés</t>
  </si>
  <si>
    <t>a 2007. évi költségvetési rendelethez</t>
  </si>
  <si>
    <t>Hitel állomány       2007.I.l-én</t>
  </si>
  <si>
    <t>2007.évi tervezett hitelfelvétel</t>
  </si>
  <si>
    <t>2007.évi törlesztés</t>
  </si>
  <si>
    <t xml:space="preserve">Várható állomány 2007. XII.31-én </t>
  </si>
  <si>
    <t>2009. év</t>
  </si>
  <si>
    <t>2007. évi tervezett önként vállalt feladat</t>
  </si>
  <si>
    <t>- Felhalmozás célú pénzeszközátadások államháztartáson kívülre</t>
  </si>
  <si>
    <t>Felhalmozási kiadás és pü.befektetések összesen (7+…+10)</t>
  </si>
  <si>
    <t>- Ellátottak pénzbeli juttatása</t>
  </si>
  <si>
    <t>Működési kiadások összesen (1+…+7)</t>
  </si>
  <si>
    <t>Felhalmozási kiadások és pénzügyi befektetések összesen (7+…+13)</t>
  </si>
  <si>
    <t>Költségvetési bevételek összesen  (I+…+VIII.)</t>
  </si>
  <si>
    <t>Pénzforgalom nélküli bevételek  (31-32-ig)</t>
  </si>
  <si>
    <t>Gyermekjóléti Szolgálat átmeneti elhelyezés</t>
  </si>
  <si>
    <t>Gyermekjóléti Szolgálat halmozottan fogyatékos gyermekek napközbeni ellátása</t>
  </si>
  <si>
    <t>- Egyéb vállalkozásnak</t>
  </si>
  <si>
    <t>Teljesítés      2006.           06.30-ig</t>
  </si>
  <si>
    <t>Normatív lakásfenntartási támogatás</t>
  </si>
  <si>
    <t>Rendszeres gyermekvédelmi pénzbeli ellátások összesen:</t>
  </si>
  <si>
    <t xml:space="preserve">2007. évi normatív állami hozzájárulásai,  </t>
  </si>
  <si>
    <t xml:space="preserve"> kötött felhasználású támogatásai, normatív és helyben maradó SZJA</t>
  </si>
  <si>
    <t xml:space="preserve">2007. évi kiadásainak alakulása </t>
  </si>
  <si>
    <t>Polgármesteri hatáskörű tartalékkeret</t>
  </si>
  <si>
    <t>Helyi TV és Csepel Újság kiadásaira</t>
  </si>
  <si>
    <t>Beruházási Iroda működési kiadásaira</t>
  </si>
  <si>
    <t>Városüzemeltetési feladatok működési kiadásaira</t>
  </si>
  <si>
    <t xml:space="preserve">2007. évi kiadásainak és bevételeinek alakulása </t>
  </si>
  <si>
    <t>2007. évi költségvetéséhez</t>
  </si>
  <si>
    <t xml:space="preserve">2010. év </t>
  </si>
  <si>
    <t>A buszpályaudvar áthelyezésének komplex tanulmánya</t>
  </si>
  <si>
    <t xml:space="preserve">Oktatás intézményei konyháinak minőségbiztosítási előírásaira </t>
  </si>
  <si>
    <t xml:space="preserve">Polgármesteri Hivatal összesen: </t>
  </si>
  <si>
    <t>- Normatív lakásfenntartás támogatása</t>
  </si>
  <si>
    <t>- Normatív ápolási díj</t>
  </si>
  <si>
    <t>2006.évi eredeti előirányzat</t>
  </si>
  <si>
    <t>Felhalmozás célú támogatási kölcsön folyósítása</t>
  </si>
  <si>
    <t>Magyar u. 2.</t>
  </si>
  <si>
    <r>
      <t xml:space="preserve"> A   12/2003.   (V.27.)  Kt.  rendelet  értelmében   </t>
    </r>
    <r>
      <rPr>
        <b/>
        <sz val="12"/>
        <rFont val="Times New Roman"/>
        <family val="1"/>
      </rPr>
      <t xml:space="preserve">adómentes  </t>
    </r>
    <r>
      <rPr>
        <sz val="12"/>
        <rFont val="Times New Roman"/>
        <family val="1"/>
      </rPr>
      <t xml:space="preserve"> építmények:   lakás,    garázs,</t>
    </r>
  </si>
  <si>
    <r>
      <t xml:space="preserve">A hétvégi házak utáni </t>
    </r>
    <r>
      <rPr>
        <b/>
        <sz val="12"/>
        <rFont val="Times New Roman"/>
        <family val="1"/>
      </rPr>
      <t>kedvezmény</t>
    </r>
    <r>
      <rPr>
        <sz val="12"/>
        <rFont val="Times New Roman"/>
        <family val="1"/>
      </rPr>
      <t xml:space="preserve"> mértéke 50%.</t>
    </r>
  </si>
  <si>
    <r>
      <t xml:space="preserve">A gépjárműadóról szóló többször módosított 1991. évi LXXXII. törvény alapján   környezetvédelmi osztályba sorolás szerinti </t>
    </r>
    <r>
      <rPr>
        <b/>
        <sz val="12"/>
        <rFont val="Times New Roman"/>
        <family val="1"/>
      </rPr>
      <t>kedvezmény</t>
    </r>
    <r>
      <rPr>
        <sz val="12"/>
        <rFont val="Times New Roman"/>
        <family val="1"/>
      </rPr>
      <t xml:space="preserve">, illetőleg mozgáskorlátozottság  miatti </t>
    </r>
    <r>
      <rPr>
        <b/>
        <sz val="12"/>
        <rFont val="Times New Roman"/>
        <family val="1"/>
      </rPr>
      <t>mentesség</t>
    </r>
    <r>
      <rPr>
        <sz val="12"/>
        <rFont val="Times New Roman"/>
        <family val="1"/>
      </rPr>
      <t xml:space="preserve"> tervezett összege az előző évek tapasztalati adatait figyelembe véve.</t>
    </r>
  </si>
  <si>
    <r>
      <t xml:space="preserve">Az önkormányzati tulajdonú lakások elidegenítésekor a vételár egy összegben történő     kiegyenlítése esetén nyújtható </t>
    </r>
    <r>
      <rPr>
        <b/>
        <sz val="12"/>
        <rFont val="Times New Roman"/>
        <family val="1"/>
      </rPr>
      <t>kedvezmény</t>
    </r>
    <r>
      <rPr>
        <sz val="12"/>
        <rFont val="Times New Roman"/>
        <family val="1"/>
      </rPr>
      <t>.</t>
    </r>
  </si>
  <si>
    <t>Polgármesteri Hivatal 2007. évre tervezett előirányzata:</t>
  </si>
  <si>
    <t>HEFOP Hátrányos helyzetű fiatalokkal foglalkozó szakemberek humán erőforrás fejlesztése (Csepeli Egészségügyi Szolgálat)</t>
  </si>
  <si>
    <t>2005. évi tény</t>
  </si>
  <si>
    <t>2006. évi várható</t>
  </si>
  <si>
    <t>2007. évi tervezett</t>
  </si>
  <si>
    <t>GVOP Önkormányzati adatvagyon másodlagos hasznosítása</t>
  </si>
  <si>
    <t>Tájékoztató a 2008. és 2009. év várható bevételi előirányzatairól</t>
  </si>
  <si>
    <t>Költségvetési hiány finanszírozása összesen          (33-37-ig)</t>
  </si>
  <si>
    <t>Felügyeleti szervtől kapott támogatás                     (intézmény finanszírozás)</t>
  </si>
  <si>
    <t>Tájékoztató a 2008. és 2009. év várható kiadási előirányzatairól</t>
  </si>
  <si>
    <t>Ellátottak pénzbeli juttatása</t>
  </si>
  <si>
    <t>Működési célú támogatási kölcsön törlesztés</t>
  </si>
  <si>
    <t>Költségvetési kiadás összesen (I+…+IV)</t>
  </si>
  <si>
    <t>Függő, átfutó, kiegyenlítő, leb. elszámolások</t>
  </si>
  <si>
    <t>Finanszírozási kiadás összesen</t>
  </si>
  <si>
    <t xml:space="preserve">Budapest XXI. Kerület Csepel Önkormányzata </t>
  </si>
  <si>
    <t>2007. évi európai uniós támogatással megvalósuló programjainak és projektjeinek bevételei és kiadásai</t>
  </si>
  <si>
    <t xml:space="preserve"> által 2007. évben nyújtott közvetett támogatások</t>
  </si>
  <si>
    <t>- dologi kiadás</t>
  </si>
  <si>
    <t>Céltartalék</t>
  </si>
  <si>
    <t>Fővárosi kerületek belterületi útjainak szilárd burkolattal való ellátása</t>
  </si>
  <si>
    <t>1997. évi várható telj.</t>
  </si>
  <si>
    <t>Kisegítő mezőgazdasági szolgáltatás</t>
  </si>
  <si>
    <t>Polgári védelmi tevékenység</t>
  </si>
  <si>
    <t>Állategészségügyi tevékenység</t>
  </si>
  <si>
    <t>részben önállóan gazd. intézmény</t>
  </si>
  <si>
    <t>- Működés célú pénzeszközátadás egyéb vállalkozásnak</t>
  </si>
  <si>
    <t xml:space="preserve">Adósságcsökkentési támogatásban részesülők lakásfenntartási támogatása </t>
  </si>
  <si>
    <t>- Születési támogatás</t>
  </si>
  <si>
    <t>Önállóan gazdálkodó intézmények összesen</t>
  </si>
  <si>
    <t>Jármű</t>
  </si>
  <si>
    <t>Céltámogatás</t>
  </si>
  <si>
    <t>Kövecses u. (Szentmiklósi -Királyerdő u.)</t>
  </si>
  <si>
    <t>Tárház u. (Arany János u.-Kölcsey u.)</t>
  </si>
  <si>
    <t>Normatív módon átengedett SZJA (Ft)</t>
  </si>
  <si>
    <t>Normatív állami hozzájárulás (Ft)</t>
  </si>
  <si>
    <t>Összesen (Ft)</t>
  </si>
  <si>
    <t>Normatív hozzájárulások</t>
  </si>
  <si>
    <t>Települési igazgatási és kommunális feladatok</t>
  </si>
  <si>
    <t>Lakott külterületekkel kapcsolatos feladatok</t>
  </si>
  <si>
    <t>Körzeti igazgatási feladatok</t>
  </si>
  <si>
    <t>Lakáshoz jutás  feladatai</t>
  </si>
  <si>
    <t>Helyi közművelődési és közgyűjteményi feladatok</t>
  </si>
  <si>
    <t>Állandó népességhez kapcs.önk.hoz. szabályozott</t>
  </si>
  <si>
    <t xml:space="preserve">Támogató szolgálat működtetése </t>
  </si>
  <si>
    <t>Gyermekjóléti központ</t>
  </si>
  <si>
    <t>Közösségi ellátások</t>
  </si>
  <si>
    <t xml:space="preserve">Szociális étkeztetés </t>
  </si>
  <si>
    <t>Házi segítségnyújtás</t>
  </si>
  <si>
    <t>Jelzőrendszeres házi segítségnyújtás</t>
  </si>
  <si>
    <t>Gyermekek napközbeni ellátása</t>
  </si>
  <si>
    <t xml:space="preserve"> - Ingyenes intézményi étkeztetés</t>
  </si>
  <si>
    <t xml:space="preserve"> - bölcsődei ellátás</t>
  </si>
  <si>
    <t>Óvodai nevelés</t>
  </si>
  <si>
    <t>Iskolai oktatás</t>
  </si>
  <si>
    <t>Feladatmutatóhoz kapcsolódó önk.hoz.szabályozott</t>
  </si>
  <si>
    <t>Normatív hozzájárulás és normatív SZJA összesen:</t>
  </si>
  <si>
    <t>Normatív kötött felhasználású támogatás</t>
  </si>
  <si>
    <t>Ebből : kiegészítő támogatás egyes közoktatási feladatok ellátásához</t>
  </si>
  <si>
    <t>Pedagógus szakvizsga</t>
  </si>
  <si>
    <t>Pedagógiai szakszolgálat</t>
  </si>
  <si>
    <t>Ebből : egyes szociális feladatok kiegészítő támogatása</t>
  </si>
  <si>
    <t>Önkorm.által szervezett közcélú foglalkozás tám.</t>
  </si>
  <si>
    <t>Szociális továbbképzés és szakvizsga</t>
  </si>
  <si>
    <t>Ápolási díj szakvélemény előkészítésének szakértői díja</t>
  </si>
  <si>
    <t>Adósságcsökkentési támogatás</t>
  </si>
  <si>
    <t>Adósságcsökk. tám. részesülők  lakásfenntartási támogatása</t>
  </si>
  <si>
    <t>Átengedett  SZJA:</t>
  </si>
  <si>
    <t>Központosított előirányzatok:</t>
  </si>
  <si>
    <t xml:space="preserve"> Helyi Kisebbségi Önkormányzatok:</t>
  </si>
  <si>
    <t>Települési önk. belterületi útjaik szilárd burk. való ellátása</t>
  </si>
  <si>
    <t xml:space="preserve">Központosított előirányzatok összesen: </t>
  </si>
  <si>
    <t>M i n d ö s s z e s e n: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</si>
  <si>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</si>
  <si>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</si>
  <si>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</si>
  <si>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</si>
  <si>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</si>
  <si>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</si>
  <si>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</si>
  <si>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</si>
  <si>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</si>
  <si>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Hatósági jogkörhöz köt.műk.bev.</t>
  </si>
  <si>
    <t>Intézm.műk.kapcs.egyéb bevétel</t>
  </si>
  <si>
    <t>Továbbszámlázott szolg.bev.</t>
  </si>
  <si>
    <t>Helyi adók</t>
  </si>
  <si>
    <t>Felhalm. és tőke jellegű bevétel</t>
  </si>
  <si>
    <t>Működés célra átvett pénzeszköz</t>
  </si>
  <si>
    <t>Felhalm. célra átvett pénzeszköz</t>
  </si>
  <si>
    <t>Felhalm.célra nyújtott kölcsön v.</t>
  </si>
  <si>
    <t>Bevételek összesen</t>
  </si>
  <si>
    <t xml:space="preserve">Költségvetési hiány </t>
  </si>
  <si>
    <t>Szoc.pol.és egyéb pénzb.juttat.</t>
  </si>
  <si>
    <t>Felhalm. célú pénzeszköz átadás</t>
  </si>
  <si>
    <t>2008.évi várható előirányzat</t>
  </si>
  <si>
    <t xml:space="preserve">Önkormányzati lakások lakbérbevétele                                                                                                                                                                                                                           </t>
  </si>
  <si>
    <t>2008.évi  várható előirányzat</t>
  </si>
  <si>
    <t>I. Működési bevételek</t>
  </si>
  <si>
    <t>I. Működési kiadások</t>
  </si>
  <si>
    <t>1. Központi költségvetési támogatás</t>
  </si>
  <si>
    <t>1. Személyi juttatások</t>
  </si>
  <si>
    <t>2. Átengedett központi adók</t>
  </si>
  <si>
    <t>- Normatív módon átengedett SZJA</t>
  </si>
  <si>
    <t>- Átengedett SZJA</t>
  </si>
  <si>
    <t>- Gépjárműadó</t>
  </si>
  <si>
    <t>3. Önkormányzat működési és sajátos bevételei</t>
  </si>
  <si>
    <t>- Intézményi működési bevételek</t>
  </si>
  <si>
    <t>4. Működés célú támogatásértékű kiadások, pénzeszköz átad.</t>
  </si>
  <si>
    <t>- Helyi adók</t>
  </si>
  <si>
    <t>- Egyéb sajátos bevételek</t>
  </si>
  <si>
    <t>5. Szoc.pol.és egyéb pénzbeli juttatások</t>
  </si>
  <si>
    <t>- Különféle bírságok</t>
  </si>
  <si>
    <t>4. Működés célú támogatásértékű bevételek, átvett pénzeszközök</t>
  </si>
  <si>
    <t>6. Általános tartalék</t>
  </si>
  <si>
    <t>- Idegenforgalmi adó</t>
  </si>
  <si>
    <t>- OEP támogatás</t>
  </si>
  <si>
    <t>7. Céltartalék (működési kiadásokra)</t>
  </si>
  <si>
    <t>- Egyéb működési c. támog. ért. bev., átvett pénzeszk.</t>
  </si>
  <si>
    <t>5. Pénzmaradvány</t>
  </si>
  <si>
    <t>8. Működési célú támogatási kölcsön törlesztés</t>
  </si>
  <si>
    <t>6. Rövid lejáratú hitelfelvétel, támogatási kölcsön</t>
  </si>
  <si>
    <t>9. Rövid lejáratú hitel törlesztés</t>
  </si>
  <si>
    <t>Működési bevételek összesen</t>
  </si>
  <si>
    <t>Működési hitelfelvétel, forráshiány</t>
  </si>
  <si>
    <t>II.Felhalmozási bevételek</t>
  </si>
  <si>
    <t>1. Felújítások</t>
  </si>
  <si>
    <t>2. Felhalmozási és tőke jellegű bevételek</t>
  </si>
  <si>
    <t>2. Kerületi beruházások</t>
  </si>
  <si>
    <t>- Tárgyi eszk.( immat.javak,ingatlanok) értékesítése</t>
  </si>
  <si>
    <t>3. Egyéb felhalmozási kiadások</t>
  </si>
  <si>
    <t>- Önkorm.sajátos felhalm.és tőke jellegű bevételek</t>
  </si>
  <si>
    <t>4. Pénzügyi befektetések kiadásai</t>
  </si>
  <si>
    <t>- Pénzügyi befektetések bevételei</t>
  </si>
  <si>
    <t>5. Felhalmozás célú támogatási kölcsön</t>
  </si>
  <si>
    <t>4. Felhalm.célú támogatásértékű bevételek, átvett pénzeszközök</t>
  </si>
  <si>
    <t>6. Felhalm.célú támogatásértékű kiadások, pénzeszköz átad.</t>
  </si>
  <si>
    <t>5. Felhalmozás célra nyújtott kölcsön visszatérülése</t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</si>
</sst>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\ ###\ ###"/>
    <numFmt numFmtId="165" formatCode="yyyy"/>
    <numFmt numFmtId="166" formatCode="###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0.0000"/>
    <numFmt numFmtId="172" formatCode="0.000"/>
    <numFmt numFmtId="173" formatCode="0.0"/>
    <numFmt numFmtId="174" formatCode="0,000,000"/>
    <numFmt numFmtId="175" formatCode="#,###,###"/>
    <numFmt numFmtId="176" formatCode="###\ ###\ ##0"/>
    <numFmt numFmtId="177" formatCode="#,##0;\-#,##0"/>
    <numFmt numFmtId="178" formatCode="#,##0;[Red]\-#,##0"/>
    <numFmt numFmtId="179" formatCode="#,##0.00;\-#,##0.00"/>
    <numFmt numFmtId="180" formatCode="#,##0.00;[Red]\-#,##0.00"/>
    <numFmt numFmtId="181" formatCode="#,###,##0"/>
    <numFmt numFmtId="182" formatCode="#,##0.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#,##0_ ;\-#,##0\ "/>
    <numFmt numFmtId="187" formatCode="#,##0.000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_-* #,##0.0\ _F_t_-;\-* #,##0.0\ _F_t_-;_-* &quot;-&quot;??\ _F_t_-;_-@_-"/>
    <numFmt numFmtId="197" formatCode="_-* #,##0\ _F_t_-;\-* #,##0\ _F_t_-;_-* &quot;-&quot;??\ _F_t_-;_-@_-"/>
    <numFmt numFmtId="198" formatCode="&quot;?&quot;#,##0"/>
    <numFmt numFmtId="199" formatCode="&quot;?&quot;\ #,##0"/>
    <numFmt numFmtId="200" formatCode="&quot;*&quot;\ #,##0"/>
    <numFmt numFmtId="201" formatCode="#,##0.0000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b/>
      <sz val="10"/>
      <color indexed="8"/>
      <name val="Times New Roman CE"/>
      <family val="0"/>
    </font>
    <font>
      <i/>
      <sz val="10"/>
      <name val="Times New Roman CE"/>
      <family val="0"/>
    </font>
    <font>
      <b/>
      <sz val="14"/>
      <color indexed="8"/>
      <name val="Times New Roman CE"/>
      <family val="0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b/>
      <i/>
      <sz val="10"/>
      <name val="Arial CE"/>
      <family val="0"/>
    </font>
    <font>
      <b/>
      <i/>
      <sz val="9"/>
      <name val="Times New Roman CE"/>
      <family val="0"/>
    </font>
    <font>
      <b/>
      <i/>
      <sz val="9"/>
      <color indexed="8"/>
      <name val="Times New Roman CE"/>
      <family val="0"/>
    </font>
    <font>
      <sz val="9"/>
      <name val="Times New Roman CE"/>
      <family val="0"/>
    </font>
    <font>
      <sz val="9"/>
      <color indexed="8"/>
      <name val="Times New Roman CE"/>
      <family val="0"/>
    </font>
    <font>
      <b/>
      <sz val="9"/>
      <name val="Times New Roman CE"/>
      <family val="0"/>
    </font>
    <font>
      <b/>
      <sz val="9"/>
      <color indexed="8"/>
      <name val="Times New Roman CE"/>
      <family val="0"/>
    </font>
    <font>
      <i/>
      <sz val="9"/>
      <name val="Times New Roman CE"/>
      <family val="0"/>
    </font>
    <font>
      <sz val="12"/>
      <name val="Times New Roman CE"/>
      <family val="1"/>
    </font>
    <font>
      <sz val="12"/>
      <name val="MS Sans Serif"/>
      <family val="0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sz val="8"/>
      <name val="Times New Roman CE"/>
      <family val="1"/>
    </font>
    <font>
      <b/>
      <i/>
      <sz val="8"/>
      <name val="Times New Roman CE"/>
      <family val="1"/>
    </font>
    <font>
      <sz val="9"/>
      <name val="Arial CE"/>
      <family val="0"/>
    </font>
    <font>
      <b/>
      <sz val="10"/>
      <name val="Arial CE"/>
      <family val="0"/>
    </font>
    <font>
      <sz val="9"/>
      <name val="MS Sans Serif"/>
      <family val="0"/>
    </font>
    <font>
      <b/>
      <sz val="9"/>
      <name val="MS Sans Serif"/>
      <family val="0"/>
    </font>
    <font>
      <b/>
      <i/>
      <sz val="8"/>
      <color indexed="8"/>
      <name val="Times New Roman CE"/>
      <family val="1"/>
    </font>
    <font>
      <sz val="8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MS Sans Serif"/>
      <family val="2"/>
    </font>
    <font>
      <sz val="14"/>
      <name val="MS Sans Serif"/>
      <family val="0"/>
    </font>
    <font>
      <sz val="10"/>
      <color indexed="8"/>
      <name val="Times New Roman CE"/>
      <family val="1"/>
    </font>
    <font>
      <b/>
      <sz val="12"/>
      <name val="Times New Roman"/>
      <family val="1"/>
    </font>
    <font>
      <b/>
      <sz val="8"/>
      <name val="Times New Roman CE"/>
      <family val="1"/>
    </font>
    <font>
      <sz val="12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i/>
      <sz val="8"/>
      <name val="Arial CE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MS Sans Serif"/>
      <family val="2"/>
    </font>
    <font>
      <i/>
      <sz val="12"/>
      <name val="Times New Roman CE"/>
      <family val="0"/>
    </font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8"/>
      <name val="Arial CE"/>
      <family val="0"/>
    </font>
    <font>
      <b/>
      <sz val="11"/>
      <name val="Times New Roman"/>
      <family val="1"/>
    </font>
    <font>
      <sz val="7"/>
      <name val="Times New Roman CE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24" applyFont="1" applyProtection="1">
      <alignment/>
      <protection hidden="1"/>
    </xf>
    <xf numFmtId="0" fontId="6" fillId="0" borderId="0" xfId="24" applyFont="1">
      <alignment/>
      <protection/>
    </xf>
    <xf numFmtId="0" fontId="6" fillId="0" borderId="0" xfId="24" applyFont="1" applyAlignment="1" applyProtection="1">
      <alignment vertical="center" wrapText="1"/>
      <protection hidden="1"/>
    </xf>
    <xf numFmtId="0" fontId="7" fillId="0" borderId="0" xfId="24" applyFont="1" applyAlignment="1" applyProtection="1">
      <alignment vertical="center"/>
      <protection hidden="1"/>
    </xf>
    <xf numFmtId="0" fontId="6" fillId="0" borderId="0" xfId="24" applyFont="1" applyAlignment="1" applyProtection="1">
      <alignment vertical="center"/>
      <protection hidden="1"/>
    </xf>
    <xf numFmtId="0" fontId="6" fillId="0" borderId="0" xfId="24" applyFont="1" applyBorder="1" applyProtection="1">
      <alignment/>
      <protection hidden="1"/>
    </xf>
    <xf numFmtId="3" fontId="7" fillId="0" borderId="0" xfId="24" applyNumberFormat="1" applyFont="1" applyProtection="1">
      <alignment/>
      <protection hidden="1"/>
    </xf>
    <xf numFmtId="0" fontId="6" fillId="0" borderId="0" xfId="24" applyFont="1" applyBorder="1" applyAlignment="1" applyProtection="1">
      <alignment/>
      <protection hidden="1"/>
    </xf>
    <xf numFmtId="0" fontId="4" fillId="0" borderId="0" xfId="26" applyFont="1" applyBorder="1" applyAlignment="1">
      <alignment horizontal="centerContinuous" vertical="center" wrapText="1"/>
      <protection/>
    </xf>
    <xf numFmtId="0" fontId="6" fillId="0" borderId="0" xfId="26" applyFont="1" applyBorder="1" applyAlignment="1">
      <alignment horizontal="centerContinuous" vertical="center" wrapText="1"/>
      <protection/>
    </xf>
    <xf numFmtId="3" fontId="6" fillId="0" borderId="0" xfId="26" applyNumberFormat="1" applyFont="1" applyAlignment="1">
      <alignment horizontal="centerContinuous" vertical="center" wrapText="1"/>
      <protection/>
    </xf>
    <xf numFmtId="3" fontId="12" fillId="0" borderId="0" xfId="26" applyNumberFormat="1" applyFont="1" applyAlignment="1">
      <alignment horizontal="centerContinuous" vertical="center" wrapText="1"/>
      <protection/>
    </xf>
    <xf numFmtId="0" fontId="6" fillId="0" borderId="0" xfId="26" applyFont="1">
      <alignment/>
      <protection/>
    </xf>
    <xf numFmtId="0" fontId="6" fillId="0" borderId="0" xfId="26" applyFont="1" applyBorder="1">
      <alignment/>
      <protection/>
    </xf>
    <xf numFmtId="0" fontId="6" fillId="0" borderId="0" xfId="26" applyFont="1" applyBorder="1" applyAlignment="1">
      <alignment/>
      <protection/>
    </xf>
    <xf numFmtId="3" fontId="6" fillId="0" borderId="0" xfId="26" applyNumberFormat="1" applyFont="1">
      <alignment/>
      <protection/>
    </xf>
    <xf numFmtId="3" fontId="10" fillId="0" borderId="0" xfId="26" applyNumberFormat="1" applyFont="1">
      <alignment/>
      <protection/>
    </xf>
    <xf numFmtId="0" fontId="7" fillId="0" borderId="0" xfId="26" applyFont="1">
      <alignment/>
      <protection/>
    </xf>
    <xf numFmtId="0" fontId="11" fillId="0" borderId="0" xfId="26" applyFont="1">
      <alignment/>
      <protection/>
    </xf>
    <xf numFmtId="0" fontId="9" fillId="0" borderId="0" xfId="27">
      <alignment/>
      <protection/>
    </xf>
    <xf numFmtId="0" fontId="8" fillId="0" borderId="0" xfId="26" applyFont="1">
      <alignment/>
      <protection/>
    </xf>
    <xf numFmtId="3" fontId="9" fillId="0" borderId="0" xfId="27" applyNumberFormat="1">
      <alignment/>
      <protection/>
    </xf>
    <xf numFmtId="3" fontId="8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3" fontId="7" fillId="0" borderId="1" xfId="24" applyNumberFormat="1" applyFont="1" applyBorder="1" applyAlignment="1" applyProtection="1">
      <alignment horizontal="right" vertical="center"/>
      <protection hidden="1"/>
    </xf>
    <xf numFmtId="3" fontId="6" fillId="0" borderId="1" xfId="24" applyNumberFormat="1" applyFont="1" applyBorder="1" applyAlignment="1" applyProtection="1">
      <alignment horizontal="right" vertical="center"/>
      <protection locked="0"/>
    </xf>
    <xf numFmtId="10" fontId="6" fillId="0" borderId="1" xfId="25" applyNumberFormat="1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8" fillId="0" borderId="0" xfId="24" applyFont="1" applyAlignment="1" applyProtection="1">
      <alignment vertical="center"/>
      <protection hidden="1"/>
    </xf>
    <xf numFmtId="0" fontId="8" fillId="0" borderId="1" xfId="24" applyFont="1" applyBorder="1" applyAlignment="1" applyProtection="1">
      <alignment vertical="center"/>
      <protection hidden="1"/>
    </xf>
    <xf numFmtId="0" fontId="6" fillId="0" borderId="1" xfId="24" applyFont="1" applyBorder="1" applyAlignment="1" applyProtection="1">
      <alignment vertical="center"/>
      <protection hidden="1"/>
    </xf>
    <xf numFmtId="0" fontId="13" fillId="0" borderId="0" xfId="0" applyFont="1" applyAlignment="1">
      <alignment horizontal="centerContinuous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Continuous" wrapText="1"/>
    </xf>
    <xf numFmtId="0" fontId="7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14" fillId="0" borderId="2" xfId="24" applyFont="1" applyBorder="1" applyAlignment="1" applyProtection="1">
      <alignment vertical="center"/>
      <protection hidden="1"/>
    </xf>
    <xf numFmtId="0" fontId="7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0" xfId="24" applyFont="1" applyAlignment="1" applyProtection="1">
      <alignment vertical="center"/>
      <protection hidden="1"/>
    </xf>
    <xf numFmtId="182" fontId="7" fillId="0" borderId="1" xfId="24" applyNumberFormat="1" applyFont="1" applyBorder="1" applyAlignment="1" applyProtection="1">
      <alignment horizontal="right" vertical="center"/>
      <protection hidden="1"/>
    </xf>
    <xf numFmtId="3" fontId="6" fillId="0" borderId="1" xfId="24" applyNumberFormat="1" applyFont="1" applyBorder="1" applyAlignment="1" applyProtection="1">
      <alignment horizontal="right" vertical="center"/>
      <protection hidden="1"/>
    </xf>
    <xf numFmtId="3" fontId="8" fillId="0" borderId="1" xfId="24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1" xfId="24" applyFont="1" applyBorder="1" applyAlignment="1" applyProtection="1">
      <alignment vertical="center"/>
      <protection hidden="1"/>
    </xf>
    <xf numFmtId="0" fontId="6" fillId="0" borderId="1" xfId="24" applyFont="1" applyBorder="1" applyAlignment="1" applyProtection="1" quotePrefix="1">
      <alignment vertical="center"/>
      <protection hidden="1"/>
    </xf>
    <xf numFmtId="3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13" fillId="0" borderId="0" xfId="24" applyFont="1" applyBorder="1" applyAlignment="1" applyProtection="1">
      <alignment horizontal="centerContinuous" vertical="center" wrapText="1"/>
      <protection hidden="1"/>
    </xf>
    <xf numFmtId="3" fontId="8" fillId="0" borderId="1" xfId="0" applyNumberFormat="1" applyFont="1" applyBorder="1" applyAlignment="1">
      <alignment/>
    </xf>
    <xf numFmtId="0" fontId="15" fillId="0" borderId="0" xfId="27" applyFont="1">
      <alignment/>
      <protection/>
    </xf>
    <xf numFmtId="0" fontId="16" fillId="0" borderId="3" xfId="26" applyFont="1" applyBorder="1">
      <alignment/>
      <protection/>
    </xf>
    <xf numFmtId="0" fontId="16" fillId="0" borderId="2" xfId="26" applyFont="1" applyBorder="1" applyAlignment="1">
      <alignment/>
      <protection/>
    </xf>
    <xf numFmtId="3" fontId="17" fillId="0" borderId="1" xfId="26" applyNumberFormat="1" applyFont="1" applyFill="1" applyBorder="1" applyAlignment="1">
      <alignment horizontal="right" vertical="top"/>
      <protection/>
    </xf>
    <xf numFmtId="3" fontId="17" fillId="0" borderId="3" xfId="26" applyNumberFormat="1" applyFont="1" applyFill="1" applyBorder="1" applyAlignment="1">
      <alignment horizontal="right" vertical="top"/>
      <protection/>
    </xf>
    <xf numFmtId="0" fontId="18" fillId="0" borderId="3" xfId="26" applyFont="1" applyBorder="1">
      <alignment/>
      <protection/>
    </xf>
    <xf numFmtId="0" fontId="18" fillId="0" borderId="4" xfId="26" applyFont="1" applyBorder="1" applyAlignment="1" quotePrefix="1">
      <alignment/>
      <protection/>
    </xf>
    <xf numFmtId="0" fontId="18" fillId="0" borderId="2" xfId="26" applyFont="1" applyBorder="1" applyAlignment="1" quotePrefix="1">
      <alignment/>
      <protection/>
    </xf>
    <xf numFmtId="3" fontId="19" fillId="0" borderId="1" xfId="26" applyNumberFormat="1" applyFont="1" applyFill="1" applyBorder="1" applyAlignment="1">
      <alignment horizontal="right" vertical="top"/>
      <protection/>
    </xf>
    <xf numFmtId="3" fontId="19" fillId="0" borderId="1" xfId="26" applyNumberFormat="1" applyFont="1" applyFill="1" applyBorder="1" applyAlignment="1" applyProtection="1">
      <alignment horizontal="right" vertical="top"/>
      <protection locked="0"/>
    </xf>
    <xf numFmtId="0" fontId="18" fillId="0" borderId="4" xfId="26" applyFont="1" applyBorder="1" quotePrefix="1">
      <alignment/>
      <protection/>
    </xf>
    <xf numFmtId="3" fontId="19" fillId="0" borderId="1" xfId="26" applyNumberFormat="1" applyFont="1" applyFill="1" applyBorder="1">
      <alignment/>
      <protection/>
    </xf>
    <xf numFmtId="3" fontId="19" fillId="0" borderId="3" xfId="26" applyNumberFormat="1" applyFont="1" applyFill="1" applyBorder="1">
      <alignment/>
      <protection/>
    </xf>
    <xf numFmtId="0" fontId="16" fillId="0" borderId="4" xfId="26" applyFont="1" applyBorder="1" applyAlignment="1" quotePrefix="1">
      <alignment/>
      <protection/>
    </xf>
    <xf numFmtId="0" fontId="16" fillId="0" borderId="2" xfId="26" applyFont="1" applyBorder="1" applyAlignment="1" quotePrefix="1">
      <alignment/>
      <protection/>
    </xf>
    <xf numFmtId="3" fontId="17" fillId="0" borderId="1" xfId="26" applyNumberFormat="1" applyFont="1" applyFill="1" applyBorder="1">
      <alignment/>
      <protection/>
    </xf>
    <xf numFmtId="3" fontId="19" fillId="0" borderId="1" xfId="26" applyNumberFormat="1" applyFont="1" applyFill="1" applyBorder="1" applyProtection="1">
      <alignment/>
      <protection locked="0"/>
    </xf>
    <xf numFmtId="0" fontId="18" fillId="0" borderId="4" xfId="26" applyFont="1" applyBorder="1">
      <alignment/>
      <protection/>
    </xf>
    <xf numFmtId="0" fontId="16" fillId="0" borderId="4" xfId="26" applyFont="1" applyBorder="1">
      <alignment/>
      <protection/>
    </xf>
    <xf numFmtId="0" fontId="18" fillId="0" borderId="2" xfId="26" applyFont="1" applyBorder="1">
      <alignment/>
      <protection/>
    </xf>
    <xf numFmtId="3" fontId="17" fillId="0" borderId="1" xfId="26" applyNumberFormat="1" applyFont="1" applyBorder="1">
      <alignment/>
      <protection/>
    </xf>
    <xf numFmtId="3" fontId="17" fillId="0" borderId="3" xfId="26" applyNumberFormat="1" applyFont="1" applyBorder="1">
      <alignment/>
      <protection/>
    </xf>
    <xf numFmtId="3" fontId="18" fillId="0" borderId="1" xfId="26" applyNumberFormat="1" applyFont="1" applyBorder="1" applyAlignment="1">
      <alignment horizontal="right" vertical="top"/>
      <protection/>
    </xf>
    <xf numFmtId="3" fontId="18" fillId="0" borderId="1" xfId="26" applyNumberFormat="1" applyFont="1" applyBorder="1" applyAlignment="1" applyProtection="1">
      <alignment horizontal="right" vertical="top"/>
      <protection locked="0"/>
    </xf>
    <xf numFmtId="3" fontId="19" fillId="0" borderId="1" xfId="26" applyNumberFormat="1" applyFont="1" applyBorder="1">
      <alignment/>
      <protection/>
    </xf>
    <xf numFmtId="0" fontId="18" fillId="0" borderId="0" xfId="26" applyFont="1">
      <alignment/>
      <protection/>
    </xf>
    <xf numFmtId="3" fontId="19" fillId="0" borderId="3" xfId="26" applyNumberFormat="1" applyFont="1" applyBorder="1">
      <alignment/>
      <protection/>
    </xf>
    <xf numFmtId="0" fontId="17" fillId="0" borderId="3" xfId="26" applyFont="1" applyBorder="1">
      <alignment/>
      <protection/>
    </xf>
    <xf numFmtId="0" fontId="17" fillId="0" borderId="2" xfId="26" applyFont="1" applyBorder="1" applyAlignment="1">
      <alignment/>
      <protection/>
    </xf>
    <xf numFmtId="0" fontId="19" fillId="0" borderId="3" xfId="26" applyFont="1" applyBorder="1">
      <alignment/>
      <protection/>
    </xf>
    <xf numFmtId="0" fontId="19" fillId="0" borderId="4" xfId="26" applyFont="1" applyBorder="1" applyAlignment="1" quotePrefix="1">
      <alignment/>
      <protection/>
    </xf>
    <xf numFmtId="0" fontId="19" fillId="0" borderId="2" xfId="26" applyFont="1" applyBorder="1" applyAlignment="1" quotePrefix="1">
      <alignment/>
      <protection/>
    </xf>
    <xf numFmtId="0" fontId="19" fillId="0" borderId="2" xfId="26" applyFont="1" applyBorder="1" applyAlignment="1">
      <alignment/>
      <protection/>
    </xf>
    <xf numFmtId="0" fontId="19" fillId="0" borderId="4" xfId="26" applyFont="1" applyBorder="1" quotePrefix="1">
      <alignment/>
      <protection/>
    </xf>
    <xf numFmtId="0" fontId="19" fillId="0" borderId="2" xfId="26" applyFont="1" applyBorder="1" quotePrefix="1">
      <alignment/>
      <protection/>
    </xf>
    <xf numFmtId="0" fontId="18" fillId="0" borderId="2" xfId="0" applyFont="1" applyBorder="1" applyAlignment="1" quotePrefix="1">
      <alignment wrapText="1"/>
    </xf>
    <xf numFmtId="0" fontId="8" fillId="0" borderId="0" xfId="26" applyFont="1" applyBorder="1">
      <alignment/>
      <protection/>
    </xf>
    <xf numFmtId="10" fontId="7" fillId="0" borderId="1" xfId="0" applyNumberFormat="1" applyFont="1" applyBorder="1" applyAlignment="1">
      <alignment/>
    </xf>
    <xf numFmtId="10" fontId="6" fillId="0" borderId="1" xfId="0" applyNumberFormat="1" applyFont="1" applyBorder="1" applyAlignment="1">
      <alignment/>
    </xf>
    <xf numFmtId="0" fontId="6" fillId="0" borderId="3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10" fontId="6" fillId="0" borderId="0" xfId="26" applyNumberFormat="1" applyFont="1" applyAlignment="1">
      <alignment horizontal="right"/>
      <protection/>
    </xf>
    <xf numFmtId="0" fontId="13" fillId="0" borderId="0" xfId="26" applyFont="1" applyBorder="1" applyAlignment="1">
      <alignment horizontal="centerContinuous" vertical="center" wrapText="1"/>
      <protection/>
    </xf>
    <xf numFmtId="0" fontId="6" fillId="0" borderId="5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wrapText="1"/>
    </xf>
    <xf numFmtId="10" fontId="8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8" fillId="0" borderId="1" xfId="0" applyFont="1" applyBorder="1" applyAlignment="1">
      <alignment horizontal="right" vertical="center"/>
    </xf>
    <xf numFmtId="3" fontId="19" fillId="0" borderId="5" xfId="26" applyNumberFormat="1" applyFont="1" applyBorder="1">
      <alignment/>
      <protection/>
    </xf>
    <xf numFmtId="3" fontId="19" fillId="0" borderId="5" xfId="26" applyNumberFormat="1" applyFont="1" applyBorder="1" applyProtection="1">
      <alignment/>
      <protection locked="0"/>
    </xf>
    <xf numFmtId="0" fontId="0" fillId="0" borderId="0" xfId="0" applyAlignment="1">
      <alignment horizontal="centerContinuous"/>
    </xf>
    <xf numFmtId="10" fontId="16" fillId="0" borderId="1" xfId="26" applyNumberFormat="1" applyFont="1" applyFill="1" applyBorder="1" applyAlignment="1">
      <alignment horizontal="right" vertical="top"/>
      <protection/>
    </xf>
    <xf numFmtId="10" fontId="18" fillId="0" borderId="1" xfId="26" applyNumberFormat="1" applyFont="1" applyFill="1" applyBorder="1" applyAlignment="1">
      <alignment horizontal="right" vertical="top"/>
      <protection/>
    </xf>
    <xf numFmtId="3" fontId="16" fillId="0" borderId="3" xfId="26" applyNumberFormat="1" applyFont="1" applyFill="1" applyBorder="1" applyAlignment="1">
      <alignment horizontal="right" vertical="top"/>
      <protection/>
    </xf>
    <xf numFmtId="3" fontId="16" fillId="0" borderId="3" xfId="26" applyNumberFormat="1" applyFont="1" applyFill="1" applyBorder="1">
      <alignment/>
      <protection/>
    </xf>
    <xf numFmtId="3" fontId="18" fillId="0" borderId="1" xfId="26" applyNumberFormat="1" applyFont="1" applyBorder="1">
      <alignment/>
      <protection/>
    </xf>
    <xf numFmtId="3" fontId="16" fillId="0" borderId="3" xfId="26" applyNumberFormat="1" applyFont="1" applyFill="1" applyBorder="1" applyProtection="1">
      <alignment/>
      <protection locked="0"/>
    </xf>
    <xf numFmtId="3" fontId="18" fillId="0" borderId="3" xfId="26" applyNumberFormat="1" applyFont="1" applyBorder="1">
      <alignment/>
      <protection/>
    </xf>
    <xf numFmtId="3" fontId="14" fillId="0" borderId="1" xfId="24" applyNumberFormat="1" applyFont="1" applyBorder="1" applyAlignment="1" applyProtection="1">
      <alignment horizontal="right" vertical="center"/>
      <protection hidden="1"/>
    </xf>
    <xf numFmtId="0" fontId="6" fillId="0" borderId="2" xfId="0" applyFont="1" applyBorder="1" applyAlignment="1">
      <alignment horizontal="centerContinuous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>
      <alignment/>
    </xf>
    <xf numFmtId="0" fontId="16" fillId="0" borderId="3" xfId="26" applyFont="1" applyBorder="1" applyAlignment="1">
      <alignment horizontal="left" vertical="center"/>
      <protection/>
    </xf>
    <xf numFmtId="3" fontId="5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 applyProtection="1" quotePrefix="1">
      <alignment vertical="center"/>
      <protection hidden="1"/>
    </xf>
    <xf numFmtId="0" fontId="6" fillId="0" borderId="4" xfId="0" applyFont="1" applyBorder="1" applyAlignment="1" quotePrefix="1">
      <alignment/>
    </xf>
    <xf numFmtId="0" fontId="7" fillId="0" borderId="4" xfId="0" applyFont="1" applyBorder="1" applyAlignment="1">
      <alignment/>
    </xf>
    <xf numFmtId="0" fontId="8" fillId="0" borderId="0" xfId="24" applyFont="1" applyProtection="1">
      <alignment/>
      <protection hidden="1"/>
    </xf>
    <xf numFmtId="10" fontId="7" fillId="0" borderId="1" xfId="0" applyNumberFormat="1" applyFont="1" applyFill="1" applyBorder="1" applyAlignment="1">
      <alignment/>
    </xf>
    <xf numFmtId="10" fontId="8" fillId="0" borderId="1" xfId="0" applyNumberFormat="1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left" wrapText="1"/>
    </xf>
    <xf numFmtId="0" fontId="18" fillId="0" borderId="0" xfId="27" applyFont="1" quotePrefix="1">
      <alignment/>
      <protection/>
    </xf>
    <xf numFmtId="10" fontId="6" fillId="0" borderId="0" xfId="24" applyNumberFormat="1" applyFont="1" applyAlignment="1" applyProtection="1">
      <alignment horizontal="right" vertical="center"/>
      <protection hidden="1"/>
    </xf>
    <xf numFmtId="3" fontId="7" fillId="0" borderId="0" xfId="24" applyNumberFormat="1" applyFont="1" applyAlignment="1" applyProtection="1">
      <alignment horizontal="centerContinuous" vertical="center" wrapText="1"/>
      <protection hidden="1"/>
    </xf>
    <xf numFmtId="0" fontId="6" fillId="0" borderId="0" xfId="24" applyFont="1">
      <alignment/>
      <protection/>
    </xf>
    <xf numFmtId="0" fontId="6" fillId="0" borderId="1" xfId="24" applyFont="1" applyBorder="1" applyAlignment="1">
      <alignment horizontal="center"/>
      <protection/>
    </xf>
    <xf numFmtId="0" fontId="6" fillId="0" borderId="2" xfId="24" applyFont="1" applyBorder="1" applyAlignment="1">
      <alignment horizontal="center"/>
      <protection/>
    </xf>
    <xf numFmtId="3" fontId="6" fillId="0" borderId="1" xfId="24" applyNumberFormat="1" applyFont="1" applyBorder="1" applyAlignment="1">
      <alignment horizontal="center" vertical="center" wrapText="1"/>
      <protection/>
    </xf>
    <xf numFmtId="3" fontId="6" fillId="0" borderId="1" xfId="24" applyNumberFormat="1" applyFont="1" applyBorder="1" applyAlignment="1" applyProtection="1">
      <alignment horizontal="center" vertical="center" wrapText="1"/>
      <protection hidden="1"/>
    </xf>
    <xf numFmtId="0" fontId="7" fillId="0" borderId="4" xfId="24" applyFont="1" applyBorder="1" applyAlignment="1">
      <alignment horizontal="left"/>
      <protection/>
    </xf>
    <xf numFmtId="0" fontId="6" fillId="0" borderId="1" xfId="24" applyFont="1" applyBorder="1" applyAlignment="1" applyProtection="1">
      <alignment horizontal="right" vertical="center"/>
      <protection hidden="1"/>
    </xf>
    <xf numFmtId="0" fontId="6" fillId="0" borderId="4" xfId="24" applyFont="1" applyBorder="1" applyAlignment="1" applyProtection="1">
      <alignment vertical="center" wrapText="1"/>
      <protection hidden="1"/>
    </xf>
    <xf numFmtId="0" fontId="6" fillId="0" borderId="1" xfId="24" applyFont="1" applyBorder="1" applyAlignment="1" applyProtection="1">
      <alignment horizontal="right"/>
      <protection hidden="1"/>
    </xf>
    <xf numFmtId="0" fontId="6" fillId="0" borderId="4" xfId="24" applyFont="1" applyBorder="1" applyAlignment="1" applyProtection="1">
      <alignment wrapText="1"/>
      <protection hidden="1"/>
    </xf>
    <xf numFmtId="0" fontId="6" fillId="0" borderId="4" xfId="24" applyFont="1" applyBorder="1" applyAlignment="1" applyProtection="1" quotePrefix="1">
      <alignment wrapText="1"/>
      <protection hidden="1"/>
    </xf>
    <xf numFmtId="0" fontId="6" fillId="0" borderId="4" xfId="26" applyFont="1" applyBorder="1" applyAlignment="1">
      <alignment wrapText="1"/>
      <protection/>
    </xf>
    <xf numFmtId="0" fontId="6" fillId="0" borderId="1" xfId="26" applyFont="1" applyBorder="1" applyAlignment="1">
      <alignment horizontal="right"/>
      <protection/>
    </xf>
    <xf numFmtId="0" fontId="8" fillId="0" borderId="1" xfId="26" applyFont="1" applyBorder="1" applyAlignment="1">
      <alignment horizontal="right"/>
      <protection/>
    </xf>
    <xf numFmtId="0" fontId="8" fillId="0" borderId="4" xfId="24" applyFont="1" applyBorder="1" applyAlignment="1" applyProtection="1">
      <alignment vertical="center" wrapText="1"/>
      <protection hidden="1"/>
    </xf>
    <xf numFmtId="0" fontId="8" fillId="0" borderId="1" xfId="24" applyFont="1" applyBorder="1" applyAlignment="1" applyProtection="1">
      <alignment horizontal="right" vertical="center"/>
      <protection hidden="1"/>
    </xf>
    <xf numFmtId="0" fontId="14" fillId="0" borderId="1" xfId="24" applyFont="1" applyBorder="1" applyAlignment="1" applyProtection="1" quotePrefix="1">
      <alignment horizontal="right" vertical="center"/>
      <protection hidden="1"/>
    </xf>
    <xf numFmtId="0" fontId="14" fillId="0" borderId="4" xfId="24" applyFont="1" applyBorder="1" applyAlignment="1" applyProtection="1">
      <alignment vertical="center" wrapText="1"/>
      <protection hidden="1"/>
    </xf>
    <xf numFmtId="0" fontId="14" fillId="0" borderId="0" xfId="24" applyFont="1" applyBorder="1" applyAlignment="1" applyProtection="1">
      <alignment vertical="center"/>
      <protection hidden="1"/>
    </xf>
    <xf numFmtId="3" fontId="16" fillId="0" borderId="3" xfId="26" applyNumberFormat="1" applyFont="1" applyBorder="1">
      <alignment/>
      <protection/>
    </xf>
    <xf numFmtId="0" fontId="9" fillId="0" borderId="0" xfId="27" applyBorder="1">
      <alignment/>
      <protection/>
    </xf>
    <xf numFmtId="0" fontId="11" fillId="0" borderId="1" xfId="0" applyFont="1" applyBorder="1" applyAlignment="1">
      <alignment horizontal="right"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6" fillId="0" borderId="4" xfId="0" applyFont="1" applyBorder="1" applyAlignment="1">
      <alignment horizontal="centerContinuous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6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6" fillId="0" borderId="1" xfId="0" applyNumberFormat="1" applyFont="1" applyBorder="1" applyAlignment="1">
      <alignment wrapText="1"/>
    </xf>
    <xf numFmtId="0" fontId="6" fillId="0" borderId="1" xfId="24" applyFont="1" applyBorder="1" applyAlignment="1">
      <alignment horizontal="centerContinuous" vertical="center"/>
      <protection/>
    </xf>
    <xf numFmtId="0" fontId="7" fillId="0" borderId="1" xfId="24" applyFont="1" applyBorder="1" applyAlignment="1" applyProtection="1">
      <alignment horizontal="right" vertical="center"/>
      <protection hidden="1"/>
    </xf>
    <xf numFmtId="0" fontId="6" fillId="0" borderId="1" xfId="24" applyFont="1" applyBorder="1" applyAlignment="1" applyProtection="1">
      <alignment horizontal="right" vertical="center"/>
      <protection hidden="1"/>
    </xf>
    <xf numFmtId="3" fontId="19" fillId="0" borderId="3" xfId="26" applyNumberFormat="1" applyFont="1" applyFill="1" applyBorder="1" applyAlignment="1" applyProtection="1">
      <alignment horizontal="right" vertical="top"/>
      <protection locked="0"/>
    </xf>
    <xf numFmtId="3" fontId="17" fillId="0" borderId="3" xfId="26" applyNumberFormat="1" applyFont="1" applyFill="1" applyBorder="1">
      <alignment/>
      <protection/>
    </xf>
    <xf numFmtId="3" fontId="19" fillId="0" borderId="3" xfId="26" applyNumberFormat="1" applyFont="1" applyFill="1" applyBorder="1" applyProtection="1">
      <alignment/>
      <protection locked="0"/>
    </xf>
    <xf numFmtId="3" fontId="18" fillId="0" borderId="3" xfId="26" applyNumberFormat="1" applyFont="1" applyBorder="1" applyAlignment="1" applyProtection="1">
      <alignment horizontal="right" vertical="top"/>
      <protection locked="0"/>
    </xf>
    <xf numFmtId="3" fontId="18" fillId="0" borderId="4" xfId="26" applyNumberFormat="1" applyFont="1" applyBorder="1" applyAlignment="1">
      <alignment horizontal="center" vertical="center" wrapText="1"/>
      <protection/>
    </xf>
    <xf numFmtId="0" fontId="16" fillId="0" borderId="7" xfId="26" applyFont="1" applyBorder="1" applyAlignment="1">
      <alignment/>
      <protection/>
    </xf>
    <xf numFmtId="3" fontId="17" fillId="0" borderId="8" xfId="26" applyNumberFormat="1" applyFont="1" applyFill="1" applyBorder="1" applyAlignment="1">
      <alignment horizontal="right" vertical="top"/>
      <protection/>
    </xf>
    <xf numFmtId="3" fontId="17" fillId="0" borderId="9" xfId="26" applyNumberFormat="1" applyFont="1" applyFill="1" applyBorder="1" applyAlignment="1">
      <alignment horizontal="right" vertical="top"/>
      <protection/>
    </xf>
    <xf numFmtId="0" fontId="16" fillId="0" borderId="6" xfId="26" applyFont="1" applyBorder="1">
      <alignment/>
      <protection/>
    </xf>
    <xf numFmtId="0" fontId="16" fillId="0" borderId="10" xfId="26" applyFont="1" applyBorder="1">
      <alignment/>
      <protection/>
    </xf>
    <xf numFmtId="0" fontId="16" fillId="0" borderId="11" xfId="26" applyFont="1" applyBorder="1" applyAlignment="1">
      <alignment/>
      <protection/>
    </xf>
    <xf numFmtId="3" fontId="17" fillId="0" borderId="5" xfId="26" applyNumberFormat="1" applyFont="1" applyFill="1" applyBorder="1">
      <alignment/>
      <protection/>
    </xf>
    <xf numFmtId="3" fontId="17" fillId="0" borderId="12" xfId="26" applyNumberFormat="1" applyFont="1" applyFill="1" applyBorder="1">
      <alignment/>
      <protection/>
    </xf>
    <xf numFmtId="0" fontId="18" fillId="0" borderId="3" xfId="26" applyFont="1" applyBorder="1" applyAlignment="1" quotePrefix="1">
      <alignment/>
      <protection/>
    </xf>
    <xf numFmtId="3" fontId="19" fillId="0" borderId="4" xfId="26" applyNumberFormat="1" applyFont="1" applyFill="1" applyBorder="1">
      <alignment/>
      <protection/>
    </xf>
    <xf numFmtId="3" fontId="19" fillId="0" borderId="4" xfId="26" applyNumberFormat="1" applyFont="1" applyFill="1" applyBorder="1" applyProtection="1">
      <alignment/>
      <protection locked="0"/>
    </xf>
    <xf numFmtId="3" fontId="19" fillId="0" borderId="2" xfId="26" applyNumberFormat="1" applyFont="1" applyFill="1" applyBorder="1" applyProtection="1">
      <alignment/>
      <protection locked="0"/>
    </xf>
    <xf numFmtId="0" fontId="18" fillId="0" borderId="12" xfId="26" applyFont="1" applyBorder="1" applyAlignment="1" quotePrefix="1">
      <alignment/>
      <protection/>
    </xf>
    <xf numFmtId="0" fontId="18" fillId="0" borderId="10" xfId="26" applyFont="1" applyBorder="1" applyAlignment="1" quotePrefix="1">
      <alignment/>
      <protection/>
    </xf>
    <xf numFmtId="3" fontId="19" fillId="0" borderId="10" xfId="26" applyNumberFormat="1" applyFont="1" applyFill="1" applyBorder="1">
      <alignment/>
      <protection/>
    </xf>
    <xf numFmtId="3" fontId="19" fillId="0" borderId="10" xfId="26" applyNumberFormat="1" applyFont="1" applyFill="1" applyBorder="1" applyProtection="1">
      <alignment/>
      <protection locked="0"/>
    </xf>
    <xf numFmtId="3" fontId="19" fillId="0" borderId="11" xfId="26" applyNumberFormat="1" applyFont="1" applyFill="1" applyBorder="1" applyProtection="1">
      <alignment/>
      <protection locked="0"/>
    </xf>
    <xf numFmtId="3" fontId="19" fillId="0" borderId="2" xfId="26" applyNumberFormat="1" applyFont="1" applyFill="1" applyBorder="1">
      <alignment/>
      <protection/>
    </xf>
    <xf numFmtId="3" fontId="19" fillId="0" borderId="11" xfId="26" applyNumberFormat="1" applyFont="1" applyFill="1" applyBorder="1">
      <alignment/>
      <protection/>
    </xf>
    <xf numFmtId="0" fontId="18" fillId="0" borderId="3" xfId="26" applyFont="1" applyBorder="1" quotePrefix="1">
      <alignment/>
      <protection/>
    </xf>
    <xf numFmtId="3" fontId="19" fillId="0" borderId="4" xfId="26" applyNumberFormat="1" applyFont="1" applyFill="1" applyBorder="1" applyAlignment="1">
      <alignment horizontal="right" vertical="top"/>
      <protection/>
    </xf>
    <xf numFmtId="3" fontId="19" fillId="0" borderId="4" xfId="26" applyNumberFormat="1" applyFont="1" applyFill="1" applyBorder="1" applyAlignment="1" applyProtection="1">
      <alignment horizontal="right" vertical="top"/>
      <protection locked="0"/>
    </xf>
    <xf numFmtId="3" fontId="19" fillId="0" borderId="2" xfId="26" applyNumberFormat="1" applyFont="1" applyFill="1" applyBorder="1" applyAlignment="1" applyProtection="1">
      <alignment horizontal="right" vertical="top"/>
      <protection locked="0"/>
    </xf>
    <xf numFmtId="0" fontId="18" fillId="0" borderId="10" xfId="26" applyFont="1" applyBorder="1" quotePrefix="1">
      <alignment/>
      <protection/>
    </xf>
    <xf numFmtId="3" fontId="19" fillId="0" borderId="5" xfId="26" applyNumberFormat="1" applyFont="1" applyFill="1" applyBorder="1" applyAlignment="1">
      <alignment horizontal="right" vertical="top"/>
      <protection/>
    </xf>
    <xf numFmtId="3" fontId="19" fillId="0" borderId="5" xfId="26" applyNumberFormat="1" applyFont="1" applyFill="1" applyBorder="1" applyAlignment="1" applyProtection="1">
      <alignment horizontal="right" vertical="top"/>
      <protection locked="0"/>
    </xf>
    <xf numFmtId="3" fontId="19" fillId="0" borderId="12" xfId="26" applyNumberFormat="1" applyFont="1" applyFill="1" applyBorder="1" applyAlignment="1" applyProtection="1">
      <alignment horizontal="right" vertical="top"/>
      <protection locked="0"/>
    </xf>
    <xf numFmtId="0" fontId="16" fillId="0" borderId="7" xfId="26" applyFont="1" applyBorder="1">
      <alignment/>
      <protection/>
    </xf>
    <xf numFmtId="3" fontId="17" fillId="0" borderId="8" xfId="26" applyNumberFormat="1" applyFont="1" applyFill="1" applyBorder="1">
      <alignment/>
      <protection/>
    </xf>
    <xf numFmtId="3" fontId="17" fillId="0" borderId="9" xfId="26" applyNumberFormat="1" applyFont="1" applyFill="1" applyBorder="1">
      <alignment/>
      <protection/>
    </xf>
    <xf numFmtId="0" fontId="19" fillId="0" borderId="3" xfId="26" applyFont="1" applyBorder="1" applyAlignment="1" quotePrefix="1">
      <alignment/>
      <protection/>
    </xf>
    <xf numFmtId="3" fontId="17" fillId="0" borderId="4" xfId="26" applyNumberFormat="1" applyFont="1" applyFill="1" applyBorder="1">
      <alignment/>
      <protection/>
    </xf>
    <xf numFmtId="3" fontId="17" fillId="0" borderId="4" xfId="26" applyNumberFormat="1" applyFont="1" applyFill="1" applyBorder="1" applyProtection="1">
      <alignment/>
      <protection locked="0"/>
    </xf>
    <xf numFmtId="3" fontId="17" fillId="0" borderId="2" xfId="26" applyNumberFormat="1" applyFont="1" applyFill="1" applyBorder="1" applyProtection="1">
      <alignment/>
      <protection locked="0"/>
    </xf>
    <xf numFmtId="0" fontId="16" fillId="0" borderId="7" xfId="26" applyFont="1" applyBorder="1" applyAlignment="1" quotePrefix="1">
      <alignment/>
      <protection/>
    </xf>
    <xf numFmtId="3" fontId="17" fillId="0" borderId="8" xfId="26" applyNumberFormat="1" applyFont="1" applyBorder="1">
      <alignment/>
      <protection/>
    </xf>
    <xf numFmtId="3" fontId="17" fillId="0" borderId="9" xfId="26" applyNumberFormat="1" applyFont="1" applyBorder="1">
      <alignment/>
      <protection/>
    </xf>
    <xf numFmtId="3" fontId="18" fillId="0" borderId="4" xfId="26" applyNumberFormat="1" applyFont="1" applyBorder="1" applyAlignment="1">
      <alignment horizontal="right" vertical="top"/>
      <protection/>
    </xf>
    <xf numFmtId="3" fontId="18" fillId="0" borderId="4" xfId="26" applyNumberFormat="1" applyFont="1" applyBorder="1" applyAlignment="1" applyProtection="1">
      <alignment horizontal="right" vertical="top"/>
      <protection locked="0"/>
    </xf>
    <xf numFmtId="3" fontId="19" fillId="0" borderId="12" xfId="26" applyNumberFormat="1" applyFont="1" applyBorder="1">
      <alignment/>
      <protection/>
    </xf>
    <xf numFmtId="0" fontId="6" fillId="0" borderId="4" xfId="26" applyFont="1" applyBorder="1" applyAlignment="1">
      <alignment/>
      <protection/>
    </xf>
    <xf numFmtId="0" fontId="6" fillId="0" borderId="3" xfId="26" applyFont="1" applyBorder="1" applyAlignment="1">
      <alignment/>
      <protection/>
    </xf>
    <xf numFmtId="0" fontId="16" fillId="0" borderId="4" xfId="26" applyFont="1" applyBorder="1" applyAlignment="1">
      <alignment horizontal="center"/>
      <protection/>
    </xf>
    <xf numFmtId="3" fontId="16" fillId="0" borderId="4" xfId="26" applyNumberFormat="1" applyFont="1" applyBorder="1" applyAlignment="1">
      <alignment horizontal="right" vertical="top"/>
      <protection/>
    </xf>
    <xf numFmtId="3" fontId="19" fillId="0" borderId="4" xfId="26" applyNumberFormat="1" applyFont="1" applyBorder="1">
      <alignment/>
      <protection/>
    </xf>
    <xf numFmtId="3" fontId="19" fillId="0" borderId="4" xfId="26" applyNumberFormat="1" applyFont="1" applyBorder="1" applyProtection="1">
      <alignment/>
      <protection locked="0"/>
    </xf>
    <xf numFmtId="3" fontId="19" fillId="0" borderId="2" xfId="26" applyNumberFormat="1" applyFont="1" applyBorder="1" applyProtection="1">
      <alignment/>
      <protection locked="0"/>
    </xf>
    <xf numFmtId="0" fontId="17" fillId="0" borderId="4" xfId="26" applyFont="1" applyBorder="1">
      <alignment/>
      <protection/>
    </xf>
    <xf numFmtId="3" fontId="19" fillId="0" borderId="2" xfId="26" applyNumberFormat="1" applyFont="1" applyBorder="1" applyAlignment="1" applyProtection="1">
      <alignment horizontal="right" vertical="top"/>
      <protection locked="0"/>
    </xf>
    <xf numFmtId="3" fontId="19" fillId="0" borderId="4" xfId="26" applyNumberFormat="1" applyFont="1" applyBorder="1" applyAlignment="1">
      <alignment horizontal="right" vertical="top"/>
      <protection/>
    </xf>
    <xf numFmtId="3" fontId="19" fillId="0" borderId="4" xfId="26" applyNumberFormat="1" applyFont="1" applyBorder="1" applyAlignment="1" applyProtection="1">
      <alignment horizontal="right" vertical="top"/>
      <protection locked="0"/>
    </xf>
    <xf numFmtId="0" fontId="11" fillId="0" borderId="4" xfId="26" applyFont="1" applyBorder="1">
      <alignment/>
      <protection/>
    </xf>
    <xf numFmtId="0" fontId="19" fillId="0" borderId="3" xfId="26" applyFont="1" applyBorder="1" quotePrefix="1">
      <alignment/>
      <protection/>
    </xf>
    <xf numFmtId="0" fontId="7" fillId="0" borderId="3" xfId="26" applyFont="1" applyBorder="1">
      <alignment/>
      <protection/>
    </xf>
    <xf numFmtId="0" fontId="7" fillId="0" borderId="4" xfId="26" applyFont="1" applyBorder="1">
      <alignment/>
      <protection/>
    </xf>
    <xf numFmtId="0" fontId="11" fillId="0" borderId="3" xfId="26" applyFont="1" applyBorder="1">
      <alignment/>
      <protection/>
    </xf>
    <xf numFmtId="0" fontId="19" fillId="0" borderId="4" xfId="26" applyFont="1" applyBorder="1" applyAlignment="1">
      <alignment/>
      <protection/>
    </xf>
    <xf numFmtId="3" fontId="17" fillId="0" borderId="2" xfId="26" applyNumberFormat="1" applyFont="1" applyBorder="1">
      <alignment/>
      <protection/>
    </xf>
    <xf numFmtId="3" fontId="19" fillId="0" borderId="2" xfId="26" applyNumberFormat="1" applyFont="1" applyBorder="1">
      <alignment/>
      <protection/>
    </xf>
    <xf numFmtId="3" fontId="19" fillId="0" borderId="2" xfId="26" applyNumberFormat="1" applyFont="1" applyBorder="1">
      <alignment/>
      <protection/>
    </xf>
    <xf numFmtId="3" fontId="18" fillId="0" borderId="2" xfId="26" applyNumberFormat="1" applyFont="1" applyBorder="1">
      <alignment/>
      <protection/>
    </xf>
    <xf numFmtId="0" fontId="17" fillId="0" borderId="4" xfId="26" applyFont="1" applyBorder="1" applyAlignment="1" quotePrefix="1">
      <alignment/>
      <protection/>
    </xf>
    <xf numFmtId="3" fontId="17" fillId="0" borderId="4" xfId="26" applyNumberFormat="1" applyFont="1" applyBorder="1">
      <alignment/>
      <protection/>
    </xf>
    <xf numFmtId="3" fontId="18" fillId="0" borderId="4" xfId="26" applyNumberFormat="1" applyFont="1" applyBorder="1">
      <alignment/>
      <protection/>
    </xf>
    <xf numFmtId="0" fontId="16" fillId="0" borderId="1" xfId="26" applyFont="1" applyBorder="1" applyAlignment="1">
      <alignment horizontal="right"/>
      <protection/>
    </xf>
    <xf numFmtId="0" fontId="18" fillId="0" borderId="1" xfId="26" applyFont="1" applyBorder="1" applyAlignment="1">
      <alignment horizontal="right"/>
      <protection/>
    </xf>
    <xf numFmtId="0" fontId="20" fillId="0" borderId="1" xfId="26" applyFont="1" applyBorder="1" applyAlignment="1">
      <alignment horizontal="right"/>
      <protection/>
    </xf>
    <xf numFmtId="0" fontId="18" fillId="0" borderId="3" xfId="26" applyFont="1" applyBorder="1" applyAlignment="1">
      <alignment horizontal="right"/>
      <protection/>
    </xf>
    <xf numFmtId="0" fontId="18" fillId="0" borderId="3" xfId="26" applyFont="1" applyBorder="1" applyAlignment="1">
      <alignment horizontal="right" vertical="center"/>
      <protection/>
    </xf>
    <xf numFmtId="0" fontId="8" fillId="0" borderId="3" xfId="26" applyFont="1" applyBorder="1" applyAlignment="1">
      <alignment horizontal="right"/>
      <protection/>
    </xf>
    <xf numFmtId="0" fontId="8" fillId="0" borderId="1" xfId="26" applyFont="1" applyBorder="1" applyAlignment="1">
      <alignment horizontal="right"/>
      <protection/>
    </xf>
    <xf numFmtId="0" fontId="19" fillId="0" borderId="1" xfId="26" applyFont="1" applyBorder="1" applyAlignment="1">
      <alignment horizontal="right"/>
      <protection/>
    </xf>
    <xf numFmtId="0" fontId="19" fillId="0" borderId="3" xfId="26" applyFont="1" applyBorder="1" applyAlignment="1">
      <alignment horizontal="right"/>
      <protection/>
    </xf>
    <xf numFmtId="0" fontId="21" fillId="0" borderId="3" xfId="26" applyFont="1" applyBorder="1" applyAlignment="1">
      <alignment horizontal="right"/>
      <protection/>
    </xf>
    <xf numFmtId="0" fontId="11" fillId="0" borderId="10" xfId="26" applyFont="1" applyBorder="1">
      <alignment/>
      <protection/>
    </xf>
    <xf numFmtId="3" fontId="16" fillId="0" borderId="1" xfId="26" applyNumberFormat="1" applyFont="1" applyBorder="1" applyAlignment="1">
      <alignment vertical="center" wrapText="1"/>
      <protection/>
    </xf>
    <xf numFmtId="0" fontId="6" fillId="0" borderId="4" xfId="0" applyFont="1" applyBorder="1" applyAlignment="1" applyProtection="1">
      <alignment vertical="center"/>
      <protection hidden="1"/>
    </xf>
    <xf numFmtId="0" fontId="18" fillId="0" borderId="1" xfId="24" applyFont="1" applyBorder="1" applyAlignment="1" applyProtection="1">
      <alignment vertical="center"/>
      <protection hidden="1"/>
    </xf>
    <xf numFmtId="0" fontId="16" fillId="0" borderId="1" xfId="24" applyFont="1" applyFill="1" applyBorder="1" applyAlignment="1" applyProtection="1">
      <alignment vertical="center"/>
      <protection hidden="1"/>
    </xf>
    <xf numFmtId="0" fontId="16" fillId="0" borderId="1" xfId="24" applyFont="1" applyBorder="1" applyAlignment="1" applyProtection="1">
      <alignment vertical="center"/>
      <protection hidden="1"/>
    </xf>
    <xf numFmtId="3" fontId="7" fillId="0" borderId="1" xfId="0" applyNumberFormat="1" applyFont="1" applyBorder="1" applyAlignment="1">
      <alignment wrapText="1"/>
    </xf>
    <xf numFmtId="0" fontId="18" fillId="0" borderId="6" xfId="26" applyFont="1" applyBorder="1" applyAlignment="1" quotePrefix="1">
      <alignment/>
      <protection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19" fillId="0" borderId="10" xfId="26" applyFont="1" applyBorder="1" applyAlignment="1" quotePrefix="1">
      <alignment/>
      <protection/>
    </xf>
    <xf numFmtId="0" fontId="18" fillId="0" borderId="10" xfId="26" applyFont="1" applyBorder="1" applyAlignment="1">
      <alignment horizontal="centerContinuous" vertical="center"/>
      <protection/>
    </xf>
    <xf numFmtId="3" fontId="18" fillId="0" borderId="10" xfId="26" applyNumberFormat="1" applyFont="1" applyBorder="1" applyAlignment="1">
      <alignment horizontal="centerContinuous" vertical="center" wrapText="1"/>
      <protection/>
    </xf>
    <xf numFmtId="3" fontId="18" fillId="0" borderId="11" xfId="26" applyNumberFormat="1" applyFont="1" applyBorder="1" applyAlignment="1">
      <alignment horizontal="centerContinuous" vertical="center" wrapText="1"/>
      <protection/>
    </xf>
    <xf numFmtId="0" fontId="29" fillId="0" borderId="0" xfId="27" applyFont="1">
      <alignment/>
      <protection/>
    </xf>
    <xf numFmtId="3" fontId="19" fillId="0" borderId="12" xfId="26" applyNumberFormat="1" applyFont="1" applyBorder="1" applyProtection="1">
      <alignment/>
      <protection locked="0"/>
    </xf>
    <xf numFmtId="0" fontId="18" fillId="0" borderId="4" xfId="0" applyFont="1" applyBorder="1" applyAlignment="1" quotePrefix="1">
      <alignment wrapText="1"/>
    </xf>
    <xf numFmtId="3" fontId="19" fillId="0" borderId="1" xfId="26" applyNumberFormat="1" applyFont="1" applyBorder="1" applyAlignment="1" applyProtection="1">
      <alignment horizontal="right" vertical="top"/>
      <protection locked="0"/>
    </xf>
    <xf numFmtId="0" fontId="19" fillId="0" borderId="1" xfId="26" applyFont="1" applyBorder="1">
      <alignment/>
      <protection/>
    </xf>
    <xf numFmtId="0" fontId="18" fillId="0" borderId="4" xfId="0" applyFont="1" applyBorder="1" applyAlignment="1" quotePrefix="1">
      <alignment horizontal="left" wrapText="1"/>
    </xf>
    <xf numFmtId="0" fontId="18" fillId="0" borderId="2" xfId="0" applyFont="1" applyBorder="1" applyAlignment="1" quotePrefix="1">
      <alignment horizontal="left" wrapText="1"/>
    </xf>
    <xf numFmtId="0" fontId="21" fillId="0" borderId="1" xfId="26" applyFont="1" applyBorder="1">
      <alignment/>
      <protection/>
    </xf>
    <xf numFmtId="0" fontId="18" fillId="0" borderId="4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18" fillId="0" borderId="4" xfId="0" applyFont="1" applyBorder="1" applyAlignment="1" quotePrefix="1">
      <alignment/>
    </xf>
    <xf numFmtId="0" fontId="18" fillId="0" borderId="4" xfId="0" applyFont="1" applyBorder="1" applyAlignment="1" quotePrefix="1">
      <alignment horizontal="left"/>
    </xf>
    <xf numFmtId="0" fontId="18" fillId="0" borderId="2" xfId="0" applyFont="1" applyBorder="1" applyAlignment="1" quotePrefix="1">
      <alignment horizontal="left"/>
    </xf>
    <xf numFmtId="0" fontId="18" fillId="0" borderId="2" xfId="0" applyFont="1" applyBorder="1" applyAlignment="1" quotePrefix="1">
      <alignment/>
    </xf>
    <xf numFmtId="3" fontId="18" fillId="0" borderId="1" xfId="26" applyNumberFormat="1" applyFont="1" applyBorder="1" applyAlignment="1">
      <alignment horizontal="right"/>
      <protection/>
    </xf>
    <xf numFmtId="3" fontId="18" fillId="0" borderId="1" xfId="0" applyNumberFormat="1" applyFont="1" applyBorder="1" applyAlignment="1">
      <alignment horizontal="right" wrapText="1"/>
    </xf>
    <xf numFmtId="3" fontId="18" fillId="0" borderId="1" xfId="26" applyNumberFormat="1" applyFont="1" applyBorder="1" applyAlignment="1">
      <alignment horizontal="right"/>
      <protection/>
    </xf>
    <xf numFmtId="0" fontId="18" fillId="0" borderId="4" xfId="26" applyFont="1" applyBorder="1" applyAlignment="1">
      <alignment horizontal="left"/>
      <protection/>
    </xf>
    <xf numFmtId="0" fontId="18" fillId="0" borderId="4" xfId="27" applyFont="1" applyBorder="1" applyAlignment="1">
      <alignment horizontal="left"/>
      <protection/>
    </xf>
    <xf numFmtId="0" fontId="18" fillId="0" borderId="1" xfId="27" applyFont="1" applyBorder="1">
      <alignment/>
      <protection/>
    </xf>
    <xf numFmtId="0" fontId="18" fillId="0" borderId="3" xfId="27" applyFont="1" applyBorder="1">
      <alignment/>
      <protection/>
    </xf>
    <xf numFmtId="0" fontId="18" fillId="0" borderId="4" xfId="26" applyFont="1" applyBorder="1">
      <alignment/>
      <protection/>
    </xf>
    <xf numFmtId="0" fontId="18" fillId="0" borderId="4" xfId="27" applyFont="1" applyBorder="1">
      <alignment/>
      <protection/>
    </xf>
    <xf numFmtId="0" fontId="18" fillId="0" borderId="0" xfId="27" applyFont="1">
      <alignment/>
      <protection/>
    </xf>
    <xf numFmtId="0" fontId="18" fillId="0" borderId="0" xfId="26" applyFont="1">
      <alignment/>
      <protection/>
    </xf>
    <xf numFmtId="0" fontId="18" fillId="0" borderId="2" xfId="27" applyFont="1" applyBorder="1">
      <alignment/>
      <protection/>
    </xf>
    <xf numFmtId="0" fontId="8" fillId="0" borderId="8" xfId="26" applyFont="1" applyBorder="1" applyAlignment="1">
      <alignment horizontal="right"/>
      <protection/>
    </xf>
    <xf numFmtId="0" fontId="17" fillId="0" borderId="9" xfId="26" applyFont="1" applyBorder="1">
      <alignment/>
      <protection/>
    </xf>
    <xf numFmtId="0" fontId="17" fillId="0" borderId="7" xfId="26" applyFont="1" applyBorder="1" applyAlignment="1">
      <alignment/>
      <protection/>
    </xf>
    <xf numFmtId="3" fontId="18" fillId="0" borderId="4" xfId="26" applyNumberFormat="1" applyFont="1" applyBorder="1" applyAlignment="1">
      <alignment horizontal="centerContinuous" vertical="center" wrapText="1"/>
      <protection/>
    </xf>
    <xf numFmtId="3" fontId="18" fillId="0" borderId="2" xfId="26" applyNumberFormat="1" applyFont="1" applyBorder="1" applyAlignment="1">
      <alignment horizontal="centerContinuous" vertical="center" wrapText="1"/>
      <protection/>
    </xf>
    <xf numFmtId="0" fontId="21" fillId="0" borderId="1" xfId="26" applyFont="1" applyBorder="1" applyAlignment="1">
      <alignment horizontal="right"/>
      <protection/>
    </xf>
    <xf numFmtId="3" fontId="17" fillId="0" borderId="8" xfId="26" applyNumberFormat="1" applyFont="1" applyBorder="1" applyAlignment="1" applyProtection="1">
      <alignment horizontal="right" vertical="top"/>
      <protection locked="0"/>
    </xf>
    <xf numFmtId="0" fontId="18" fillId="0" borderId="1" xfId="24" applyFont="1" applyBorder="1" applyAlignment="1">
      <alignment horizontal="centerContinuous" vertical="center"/>
      <protection/>
    </xf>
    <xf numFmtId="0" fontId="18" fillId="0" borderId="4" xfId="26" applyFont="1" applyBorder="1" applyAlignment="1">
      <alignment horizontal="centerContinuous"/>
      <protection/>
    </xf>
    <xf numFmtId="0" fontId="31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6" fillId="0" borderId="2" xfId="24" applyFont="1" applyBorder="1" applyAlignment="1" applyProtection="1">
      <alignment vertical="center"/>
      <protection hidden="1"/>
    </xf>
    <xf numFmtId="0" fontId="7" fillId="0" borderId="8" xfId="0" applyFont="1" applyBorder="1" applyAlignment="1">
      <alignment wrapText="1"/>
    </xf>
    <xf numFmtId="3" fontId="7" fillId="0" borderId="8" xfId="0" applyNumberFormat="1" applyFont="1" applyBorder="1" applyAlignment="1">
      <alignment/>
    </xf>
    <xf numFmtId="10" fontId="7" fillId="0" borderId="8" xfId="0" applyNumberFormat="1" applyFont="1" applyBorder="1" applyAlignment="1">
      <alignment/>
    </xf>
    <xf numFmtId="0" fontId="32" fillId="0" borderId="0" xfId="0" applyFont="1" applyAlignment="1">
      <alignment/>
    </xf>
    <xf numFmtId="0" fontId="18" fillId="0" borderId="2" xfId="26" applyFont="1" applyBorder="1" applyAlignment="1" quotePrefix="1">
      <alignment/>
      <protection/>
    </xf>
    <xf numFmtId="0" fontId="18" fillId="0" borderId="1" xfId="0" applyFont="1" applyBorder="1" applyAlignment="1">
      <alignment wrapText="1"/>
    </xf>
    <xf numFmtId="3" fontId="18" fillId="0" borderId="1" xfId="0" applyNumberFormat="1" applyFont="1" applyBorder="1" applyAlignment="1" quotePrefix="1">
      <alignment horizontal="right" wrapText="1"/>
    </xf>
    <xf numFmtId="0" fontId="6" fillId="0" borderId="0" xfId="0" applyFont="1" applyFill="1" applyAlignment="1">
      <alignment horizontal="right"/>
    </xf>
    <xf numFmtId="3" fontId="19" fillId="0" borderId="2" xfId="26" applyNumberFormat="1" applyFont="1" applyFill="1" applyBorder="1" applyAlignment="1">
      <alignment horizontal="right" vertical="top"/>
      <protection/>
    </xf>
    <xf numFmtId="3" fontId="19" fillId="0" borderId="0" xfId="26" applyNumberFormat="1" applyFont="1" applyBorder="1" applyAlignment="1" applyProtection="1">
      <alignment horizontal="right" vertical="top"/>
      <protection locked="0"/>
    </xf>
    <xf numFmtId="0" fontId="15" fillId="0" borderId="0" xfId="27" applyFont="1" applyBorder="1">
      <alignment/>
      <protection/>
    </xf>
    <xf numFmtId="3" fontId="33" fillId="0" borderId="2" xfId="26" applyNumberFormat="1" applyFont="1" applyBorder="1">
      <alignment/>
      <protection/>
    </xf>
    <xf numFmtId="0" fontId="6" fillId="0" borderId="1" xfId="24" applyFont="1" applyBorder="1" applyAlignment="1" applyProtection="1">
      <alignment horizontal="right"/>
      <protection hidden="1"/>
    </xf>
    <xf numFmtId="3" fontId="8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20" fillId="0" borderId="1" xfId="0" applyFont="1" applyBorder="1" applyAlignment="1">
      <alignment horizontal="centerContinuous" vertical="center"/>
    </xf>
    <xf numFmtId="0" fontId="20" fillId="0" borderId="1" xfId="0" applyFont="1" applyBorder="1" applyAlignment="1">
      <alignment/>
    </xf>
    <xf numFmtId="3" fontId="20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3" fontId="18" fillId="0" borderId="1" xfId="0" applyNumberFormat="1" applyFont="1" applyBorder="1" applyAlignment="1">
      <alignment/>
    </xf>
    <xf numFmtId="0" fontId="18" fillId="0" borderId="1" xfId="0" applyFont="1" applyBorder="1" applyAlignment="1" quotePrefix="1">
      <alignment/>
    </xf>
    <xf numFmtId="0" fontId="18" fillId="0" borderId="3" xfId="0" applyFont="1" applyBorder="1" applyAlignment="1">
      <alignment/>
    </xf>
    <xf numFmtId="0" fontId="18" fillId="0" borderId="2" xfId="0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4" xfId="0" applyFont="1" applyBorder="1" applyAlignment="1">
      <alignment/>
    </xf>
    <xf numFmtId="0" fontId="0" fillId="0" borderId="0" xfId="0" applyAlignment="1">
      <alignment vertical="center"/>
    </xf>
    <xf numFmtId="3" fontId="17" fillId="0" borderId="2" xfId="26" applyNumberFormat="1" applyFont="1" applyBorder="1" applyAlignment="1" applyProtection="1">
      <alignment horizontal="right" vertical="top"/>
      <protection locked="0"/>
    </xf>
    <xf numFmtId="10" fontId="18" fillId="0" borderId="5" xfId="26" applyNumberFormat="1" applyFont="1" applyFill="1" applyBorder="1" applyAlignment="1">
      <alignment horizontal="right" vertical="top"/>
      <protection/>
    </xf>
    <xf numFmtId="0" fontId="18" fillId="0" borderId="12" xfId="26" applyFont="1" applyBorder="1" applyAlignment="1">
      <alignment horizontal="right" vertical="center"/>
      <protection/>
    </xf>
    <xf numFmtId="0" fontId="6" fillId="0" borderId="12" xfId="26" applyFont="1" applyBorder="1" applyAlignment="1">
      <alignment/>
      <protection/>
    </xf>
    <xf numFmtId="3" fontId="18" fillId="0" borderId="10" xfId="26" applyNumberFormat="1" applyFont="1" applyBorder="1" applyAlignment="1">
      <alignment horizontal="center" vertical="center" wrapText="1"/>
      <protection/>
    </xf>
    <xf numFmtId="0" fontId="18" fillId="0" borderId="1" xfId="26" applyFont="1" applyBorder="1" applyAlignment="1">
      <alignment horizontal="right" vertical="center"/>
      <protection/>
    </xf>
    <xf numFmtId="0" fontId="8" fillId="0" borderId="1" xfId="0" applyFont="1" applyBorder="1" applyAlignment="1">
      <alignment vertical="center" wrapText="1"/>
    </xf>
    <xf numFmtId="10" fontId="8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10" fontId="7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10" fontId="6" fillId="0" borderId="1" xfId="0" applyNumberFormat="1" applyFont="1" applyBorder="1" applyAlignment="1">
      <alignment vertical="center"/>
    </xf>
    <xf numFmtId="10" fontId="6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16" fillId="0" borderId="1" xfId="26" applyNumberFormat="1" applyFont="1" applyBorder="1" applyAlignment="1">
      <alignment horizontal="right" vertical="top"/>
      <protection/>
    </xf>
    <xf numFmtId="10" fontId="27" fillId="0" borderId="1" xfId="26" applyNumberFormat="1" applyFont="1" applyFill="1" applyBorder="1" applyAlignment="1">
      <alignment horizontal="right" vertical="top"/>
      <protection/>
    </xf>
    <xf numFmtId="3" fontId="35" fillId="0" borderId="0" xfId="0" applyNumberFormat="1" applyFont="1" applyAlignment="1">
      <alignment/>
    </xf>
    <xf numFmtId="3" fontId="35" fillId="0" borderId="1" xfId="0" applyNumberFormat="1" applyFont="1" applyBorder="1" applyAlignment="1">
      <alignment/>
    </xf>
    <xf numFmtId="3" fontId="6" fillId="0" borderId="0" xfId="24" applyNumberFormat="1" applyFont="1" applyAlignment="1" applyProtection="1">
      <alignment horizontal="right" vertical="center"/>
      <protection hidden="1"/>
    </xf>
    <xf numFmtId="3" fontId="36" fillId="0" borderId="1" xfId="0" applyNumberFormat="1" applyFont="1" applyBorder="1" applyAlignment="1">
      <alignment/>
    </xf>
    <xf numFmtId="3" fontId="35" fillId="0" borderId="1" xfId="0" applyNumberFormat="1" applyFont="1" applyBorder="1" applyAlignment="1">
      <alignment vertical="center"/>
    </xf>
    <xf numFmtId="3" fontId="18" fillId="0" borderId="3" xfId="26" applyNumberFormat="1" applyFont="1" applyFill="1" applyBorder="1" applyAlignment="1">
      <alignment horizontal="right" vertical="top"/>
      <protection/>
    </xf>
    <xf numFmtId="10" fontId="28" fillId="0" borderId="1" xfId="26" applyNumberFormat="1" applyFont="1" applyFill="1" applyBorder="1" applyAlignment="1">
      <alignment horizontal="right" vertical="top"/>
      <protection/>
    </xf>
    <xf numFmtId="3" fontId="6" fillId="0" borderId="1" xfId="0" applyNumberFormat="1" applyFont="1" applyBorder="1" applyAlignment="1">
      <alignment/>
    </xf>
    <xf numFmtId="0" fontId="18" fillId="0" borderId="3" xfId="27" applyFont="1" applyBorder="1" quotePrefix="1">
      <alignment/>
      <protection/>
    </xf>
    <xf numFmtId="3" fontId="18" fillId="0" borderId="2" xfId="26" applyNumberFormat="1" applyFont="1" applyBorder="1" applyAlignment="1" applyProtection="1">
      <alignment horizontal="right" vertical="top"/>
      <protection locked="0"/>
    </xf>
    <xf numFmtId="3" fontId="16" fillId="0" borderId="1" xfId="26" applyNumberFormat="1" applyFont="1" applyFill="1" applyBorder="1" applyAlignment="1">
      <alignment horizontal="right" vertical="top"/>
      <protection/>
    </xf>
    <xf numFmtId="3" fontId="6" fillId="0" borderId="8" xfId="0" applyNumberFormat="1" applyFont="1" applyBorder="1" applyAlignment="1">
      <alignment vertical="center"/>
    </xf>
    <xf numFmtId="182" fontId="6" fillId="0" borderId="1" xfId="0" applyNumberFormat="1" applyFont="1" applyFill="1" applyBorder="1" applyAlignment="1">
      <alignment/>
    </xf>
    <xf numFmtId="3" fontId="8" fillId="0" borderId="1" xfId="24" applyNumberFormat="1" applyFont="1" applyBorder="1" applyAlignment="1" applyProtection="1">
      <alignment horizontal="right" vertical="center"/>
      <protection hidden="1"/>
    </xf>
    <xf numFmtId="0" fontId="18" fillId="0" borderId="0" xfId="21" applyFont="1">
      <alignment/>
      <protection/>
    </xf>
    <xf numFmtId="0" fontId="18" fillId="0" borderId="1" xfId="21" applyFont="1" applyBorder="1" applyAlignment="1">
      <alignment horizontal="center"/>
      <protection/>
    </xf>
    <xf numFmtId="0" fontId="20" fillId="0" borderId="1" xfId="21" applyFont="1" applyBorder="1" applyAlignment="1">
      <alignment horizontal="center"/>
      <protection/>
    </xf>
    <xf numFmtId="0" fontId="20" fillId="0" borderId="1" xfId="21" applyFont="1" applyBorder="1" applyAlignment="1">
      <alignment horizontal="left"/>
      <protection/>
    </xf>
    <xf numFmtId="3" fontId="20" fillId="0" borderId="1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20" fillId="0" borderId="1" xfId="21" applyFont="1" applyBorder="1" applyAlignment="1">
      <alignment horizontal="right"/>
      <protection/>
    </xf>
    <xf numFmtId="0" fontId="18" fillId="0" borderId="1" xfId="21" applyFont="1" applyBorder="1" applyAlignment="1">
      <alignment horizontal="right"/>
      <protection/>
    </xf>
    <xf numFmtId="0" fontId="18" fillId="0" borderId="1" xfId="21" applyFont="1" applyBorder="1" applyAlignment="1">
      <alignment horizontal="left"/>
      <protection/>
    </xf>
    <xf numFmtId="3" fontId="18" fillId="0" borderId="1" xfId="21" applyNumberFormat="1" applyFont="1" applyBorder="1" applyAlignment="1">
      <alignment horizontal="right"/>
      <protection/>
    </xf>
    <xf numFmtId="3" fontId="20" fillId="0" borderId="1" xfId="21" applyNumberFormat="1" applyFont="1" applyBorder="1" applyAlignment="1">
      <alignment horizontal="right"/>
      <protection/>
    </xf>
    <xf numFmtId="0" fontId="20" fillId="0" borderId="1" xfId="21" applyFont="1" applyBorder="1">
      <alignment/>
      <protection/>
    </xf>
    <xf numFmtId="3" fontId="20" fillId="0" borderId="1" xfId="21" applyNumberFormat="1" applyFont="1" applyBorder="1">
      <alignment/>
      <protection/>
    </xf>
    <xf numFmtId="0" fontId="18" fillId="0" borderId="1" xfId="21" applyFont="1" applyBorder="1">
      <alignment/>
      <protection/>
    </xf>
    <xf numFmtId="3" fontId="18" fillId="0" borderId="1" xfId="21" applyNumberFormat="1" applyFont="1" applyBorder="1">
      <alignment/>
      <protection/>
    </xf>
    <xf numFmtId="0" fontId="18" fillId="0" borderId="1" xfId="21" applyFont="1" applyBorder="1" applyAlignment="1">
      <alignment horizontal="right"/>
      <protection/>
    </xf>
    <xf numFmtId="0" fontId="20" fillId="0" borderId="1" xfId="21" applyFont="1" applyBorder="1" applyAlignment="1">
      <alignment horizontal="right"/>
      <protection/>
    </xf>
    <xf numFmtId="0" fontId="20" fillId="0" borderId="1" xfId="21" applyFont="1" applyBorder="1">
      <alignment/>
      <protection/>
    </xf>
    <xf numFmtId="3" fontId="20" fillId="0" borderId="1" xfId="21" applyNumberFormat="1" applyFont="1" applyBorder="1">
      <alignment/>
      <protection/>
    </xf>
    <xf numFmtId="0" fontId="20" fillId="0" borderId="0" xfId="21" applyFont="1">
      <alignment/>
      <protection/>
    </xf>
    <xf numFmtId="0" fontId="18" fillId="0" borderId="1" xfId="21" applyFont="1" applyBorder="1" applyAlignment="1">
      <alignment/>
      <protection/>
    </xf>
    <xf numFmtId="0" fontId="20" fillId="0" borderId="1" xfId="21" applyFont="1" applyBorder="1" applyAlignment="1">
      <alignment/>
      <protection/>
    </xf>
    <xf numFmtId="0" fontId="18" fillId="0" borderId="1" xfId="21" applyFont="1" applyBorder="1" applyAlignment="1">
      <alignment horizontal="right" vertical="center"/>
      <protection/>
    </xf>
    <xf numFmtId="3" fontId="18" fillId="0" borderId="1" xfId="0" applyNumberFormat="1" applyFont="1" applyBorder="1" applyAlignment="1">
      <alignment vertical="center"/>
    </xf>
    <xf numFmtId="3" fontId="18" fillId="0" borderId="1" xfId="21" applyNumberFormat="1" applyFont="1" applyBorder="1" applyAlignment="1">
      <alignment vertical="center"/>
      <protection/>
    </xf>
    <xf numFmtId="0" fontId="18" fillId="0" borderId="1" xfId="0" applyFont="1" applyBorder="1" applyAlignment="1">
      <alignment vertical="center" wrapText="1"/>
    </xf>
    <xf numFmtId="0" fontId="18" fillId="0" borderId="1" xfId="21" applyFont="1" applyBorder="1" applyAlignment="1">
      <alignment horizontal="right" vertical="center"/>
      <protection/>
    </xf>
    <xf numFmtId="0" fontId="20" fillId="0" borderId="1" xfId="0" applyFont="1" applyBorder="1" applyAlignment="1">
      <alignment wrapText="1"/>
    </xf>
    <xf numFmtId="3" fontId="20" fillId="0" borderId="1" xfId="0" applyNumberFormat="1" applyFont="1" applyBorder="1" applyAlignment="1">
      <alignment/>
    </xf>
    <xf numFmtId="0" fontId="18" fillId="0" borderId="1" xfId="21" applyFont="1" applyBorder="1" applyAlignment="1">
      <alignment wrapText="1"/>
      <protection/>
    </xf>
    <xf numFmtId="0" fontId="18" fillId="0" borderId="1" xfId="21" applyFont="1" applyBorder="1" applyAlignment="1">
      <alignment vertical="center"/>
      <protection/>
    </xf>
    <xf numFmtId="0" fontId="18" fillId="0" borderId="1" xfId="21" applyFont="1" applyBorder="1" applyAlignment="1">
      <alignment vertical="center" wrapText="1"/>
      <protection/>
    </xf>
    <xf numFmtId="0" fontId="20" fillId="0" borderId="1" xfId="21" applyFont="1" applyBorder="1" applyAlignment="1">
      <alignment vertical="center"/>
      <protection/>
    </xf>
    <xf numFmtId="0" fontId="20" fillId="0" borderId="0" xfId="21" applyFont="1" applyBorder="1">
      <alignment/>
      <protection/>
    </xf>
    <xf numFmtId="0" fontId="18" fillId="0" borderId="8" xfId="21" applyFont="1" applyBorder="1" applyAlignment="1">
      <alignment horizontal="right"/>
      <protection/>
    </xf>
    <xf numFmtId="0" fontId="18" fillId="0" borderId="8" xfId="21" applyFont="1" applyBorder="1">
      <alignment/>
      <protection/>
    </xf>
    <xf numFmtId="3" fontId="18" fillId="0" borderId="8" xfId="21" applyNumberFormat="1" applyFont="1" applyBorder="1">
      <alignment/>
      <protection/>
    </xf>
    <xf numFmtId="0" fontId="16" fillId="0" borderId="1" xfId="21" applyFont="1" applyBorder="1" applyAlignment="1">
      <alignment horizontal="right"/>
      <protection/>
    </xf>
    <xf numFmtId="0" fontId="16" fillId="0" borderId="1" xfId="21" applyFont="1" applyBorder="1">
      <alignment/>
      <protection/>
    </xf>
    <xf numFmtId="3" fontId="16" fillId="0" borderId="1" xfId="21" applyNumberFormat="1" applyFont="1" applyBorder="1">
      <alignment/>
      <protection/>
    </xf>
    <xf numFmtId="0" fontId="16" fillId="0" borderId="0" xfId="21" applyFont="1">
      <alignment/>
      <protection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 quotePrefix="1">
      <alignment vertical="center" wrapText="1"/>
    </xf>
    <xf numFmtId="0" fontId="6" fillId="0" borderId="1" xfId="24" applyFont="1" applyBorder="1" applyAlignment="1">
      <alignment horizontal="center"/>
      <protection/>
    </xf>
    <xf numFmtId="0" fontId="6" fillId="0" borderId="1" xfId="24" applyFont="1" applyBorder="1" applyAlignment="1" applyProtection="1" quotePrefix="1">
      <alignment vertical="center"/>
      <protection hidden="1"/>
    </xf>
    <xf numFmtId="0" fontId="6" fillId="0" borderId="1" xfId="24" applyFont="1" applyBorder="1" applyAlignment="1" applyProtection="1" quotePrefix="1">
      <alignment horizontal="left" indent="2"/>
      <protection hidden="1"/>
    </xf>
    <xf numFmtId="0" fontId="6" fillId="0" borderId="1" xfId="24" applyFont="1" applyBorder="1" applyAlignment="1" applyProtection="1">
      <alignment vertical="center" wrapText="1"/>
      <protection hidden="1"/>
    </xf>
    <xf numFmtId="0" fontId="6" fillId="0" borderId="1" xfId="24" applyFont="1" applyBorder="1" applyAlignment="1" applyProtection="1">
      <alignment vertical="center"/>
      <protection hidden="1"/>
    </xf>
    <xf numFmtId="0" fontId="6" fillId="0" borderId="1" xfId="24" applyFont="1" applyBorder="1" applyAlignment="1" applyProtection="1">
      <alignment/>
      <protection hidden="1"/>
    </xf>
    <xf numFmtId="3" fontId="6" fillId="0" borderId="1" xfId="24" applyNumberFormat="1" applyFont="1" applyBorder="1" applyAlignment="1" applyProtection="1">
      <alignment/>
      <protection hidden="1"/>
    </xf>
    <xf numFmtId="0" fontId="7" fillId="0" borderId="1" xfId="24" applyFont="1" applyBorder="1" applyAlignment="1" applyProtection="1">
      <alignment vertical="center"/>
      <protection hidden="1"/>
    </xf>
    <xf numFmtId="10" fontId="6" fillId="0" borderId="1" xfId="0" applyNumberFormat="1" applyFont="1" applyBorder="1" applyAlignment="1">
      <alignment/>
    </xf>
    <xf numFmtId="10" fontId="6" fillId="0" borderId="1" xfId="0" applyNumberFormat="1" applyFont="1" applyBorder="1" applyAlignment="1">
      <alignment vertical="center"/>
    </xf>
    <xf numFmtId="3" fontId="19" fillId="0" borderId="11" xfId="26" applyNumberFormat="1" applyFont="1" applyFill="1" applyBorder="1" quotePrefix="1">
      <alignment/>
      <protection/>
    </xf>
    <xf numFmtId="0" fontId="5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4" fillId="0" borderId="0" xfId="0" applyFont="1" applyBorder="1" applyAlignment="1">
      <alignment/>
    </xf>
    <xf numFmtId="3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3" fontId="7" fillId="0" borderId="1" xfId="24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wrapText="1"/>
    </xf>
    <xf numFmtId="0" fontId="9" fillId="0" borderId="0" xfId="27" applyFont="1">
      <alignment/>
      <protection/>
    </xf>
    <xf numFmtId="0" fontId="6" fillId="0" borderId="5" xfId="24" applyFont="1" applyBorder="1" applyAlignment="1" applyProtection="1">
      <alignment horizontal="right" vertical="center"/>
      <protection hidden="1"/>
    </xf>
    <xf numFmtId="0" fontId="6" fillId="0" borderId="5" xfId="0" applyFont="1" applyBorder="1" applyAlignment="1">
      <alignment horizontal="left" wrapText="1"/>
    </xf>
    <xf numFmtId="3" fontId="6" fillId="0" borderId="5" xfId="24" applyNumberFormat="1" applyFont="1" applyBorder="1" applyAlignment="1" applyProtection="1">
      <alignment horizontal="right" vertical="center"/>
      <protection locked="0"/>
    </xf>
    <xf numFmtId="0" fontId="6" fillId="0" borderId="8" xfId="24" applyFont="1" applyBorder="1" applyAlignment="1" applyProtection="1">
      <alignment horizontal="right" vertical="center"/>
      <protection hidden="1"/>
    </xf>
    <xf numFmtId="0" fontId="6" fillId="0" borderId="8" xfId="0" applyFont="1" applyBorder="1" applyAlignment="1">
      <alignment horizontal="left" wrapText="1"/>
    </xf>
    <xf numFmtId="3" fontId="6" fillId="0" borderId="8" xfId="24" applyNumberFormat="1" applyFont="1" applyBorder="1" applyAlignment="1" applyProtection="1">
      <alignment horizontal="right" vertical="center"/>
      <protection locked="0"/>
    </xf>
    <xf numFmtId="3" fontId="6" fillId="0" borderId="5" xfId="24" applyNumberFormat="1" applyFont="1" applyBorder="1" applyAlignment="1" applyProtection="1">
      <alignment horizontal="right" vertical="center"/>
      <protection hidden="1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/>
    </xf>
    <xf numFmtId="10" fontId="6" fillId="0" borderId="5" xfId="0" applyNumberFormat="1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10" fontId="6" fillId="0" borderId="8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 quotePrefix="1">
      <alignment vertical="center" wrapText="1"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0" fontId="18" fillId="0" borderId="5" xfId="0" applyFont="1" applyBorder="1" applyAlignment="1">
      <alignment wrapText="1"/>
    </xf>
    <xf numFmtId="0" fontId="18" fillId="0" borderId="1" xfId="0" applyFont="1" applyBorder="1" applyAlignment="1">
      <alignment horizontal="left" indent="3"/>
    </xf>
    <xf numFmtId="0" fontId="18" fillId="0" borderId="0" xfId="0" applyFont="1" applyAlignment="1">
      <alignment/>
    </xf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Continuous"/>
    </xf>
    <xf numFmtId="0" fontId="18" fillId="0" borderId="4" xfId="0" applyFont="1" applyBorder="1" applyAlignment="1">
      <alignment horizontal="centerContinuous"/>
    </xf>
    <xf numFmtId="0" fontId="18" fillId="0" borderId="2" xfId="0" applyFont="1" applyBorder="1" applyAlignment="1">
      <alignment horizontal="centerContinuous"/>
    </xf>
    <xf numFmtId="0" fontId="18" fillId="0" borderId="12" xfId="0" applyFont="1" applyBorder="1" applyAlignment="1">
      <alignment horizontal="center"/>
    </xf>
    <xf numFmtId="0" fontId="18" fillId="0" borderId="6" xfId="0" applyFont="1" applyBorder="1" applyAlignment="1">
      <alignment horizontal="centerContinuous"/>
    </xf>
    <xf numFmtId="0" fontId="18" fillId="0" borderId="7" xfId="0" applyFont="1" applyBorder="1" applyAlignment="1">
      <alignment horizontal="centerContinuous"/>
    </xf>
    <xf numFmtId="0" fontId="20" fillId="0" borderId="1" xfId="0" applyFont="1" applyBorder="1" applyAlignment="1">
      <alignment horizontal="center" vertical="center"/>
    </xf>
    <xf numFmtId="182" fontId="18" fillId="0" borderId="1" xfId="0" applyNumberFormat="1" applyFont="1" applyBorder="1" applyAlignment="1">
      <alignment/>
    </xf>
    <xf numFmtId="3" fontId="8" fillId="0" borderId="1" xfId="24" applyNumberFormat="1" applyFont="1" applyBorder="1" applyAlignment="1" applyProtection="1">
      <alignment horizontal="right" vertical="center"/>
      <protection locked="0"/>
    </xf>
    <xf numFmtId="3" fontId="6" fillId="0" borderId="1" xfId="24" applyNumberFormat="1" applyFont="1" applyBorder="1" applyAlignment="1" applyProtection="1">
      <alignment horizontal="right" vertical="center"/>
      <protection locked="0"/>
    </xf>
    <xf numFmtId="3" fontId="6" fillId="0" borderId="5" xfId="24" applyNumberFormat="1" applyFont="1" applyBorder="1" applyAlignment="1" applyProtection="1">
      <alignment horizontal="right" vertical="center"/>
      <protection locked="0"/>
    </xf>
    <xf numFmtId="3" fontId="6" fillId="0" borderId="8" xfId="24" applyNumberFormat="1" applyFont="1" applyBorder="1" applyAlignment="1" applyProtection="1">
      <alignment horizontal="right" vertical="center"/>
      <protection locked="0"/>
    </xf>
    <xf numFmtId="3" fontId="6" fillId="0" borderId="1" xfId="24" applyNumberFormat="1" applyFont="1" applyBorder="1" applyAlignment="1" applyProtection="1">
      <alignment horizontal="right" vertical="center"/>
      <protection hidden="1"/>
    </xf>
    <xf numFmtId="3" fontId="6" fillId="0" borderId="5" xfId="24" applyNumberFormat="1" applyFont="1" applyBorder="1" applyAlignment="1" applyProtection="1">
      <alignment horizontal="right" vertical="center"/>
      <protection hidden="1"/>
    </xf>
    <xf numFmtId="3" fontId="6" fillId="0" borderId="8" xfId="24" applyNumberFormat="1" applyFont="1" applyBorder="1" applyAlignment="1" applyProtection="1">
      <alignment horizontal="right" vertical="center"/>
      <protection hidden="1"/>
    </xf>
    <xf numFmtId="0" fontId="7" fillId="0" borderId="0" xfId="21" applyFont="1" applyAlignment="1">
      <alignment horizontal="center"/>
      <protection/>
    </xf>
    <xf numFmtId="10" fontId="8" fillId="0" borderId="1" xfId="25" applyNumberFormat="1" applyFont="1" applyBorder="1" applyAlignment="1" applyProtection="1">
      <alignment horizontal="right" vertical="center"/>
      <protection locked="0"/>
    </xf>
    <xf numFmtId="0" fontId="7" fillId="0" borderId="0" xfId="24" applyFont="1">
      <alignment/>
      <protection/>
    </xf>
    <xf numFmtId="3" fontId="7" fillId="0" borderId="5" xfId="24" applyNumberFormat="1" applyFont="1" applyBorder="1" applyAlignment="1" applyProtection="1">
      <alignment horizontal="right" vertical="center"/>
      <protection hidden="1"/>
    </xf>
    <xf numFmtId="3" fontId="7" fillId="0" borderId="8" xfId="24" applyNumberFormat="1" applyFont="1" applyBorder="1" applyAlignment="1" applyProtection="1">
      <alignment horizontal="right" vertical="center"/>
      <protection hidden="1"/>
    </xf>
    <xf numFmtId="10" fontId="6" fillId="0" borderId="5" xfId="25" applyNumberFormat="1" applyFont="1" applyBorder="1" applyAlignment="1" applyProtection="1">
      <alignment horizontal="right" vertical="center"/>
      <protection locked="0"/>
    </xf>
    <xf numFmtId="10" fontId="6" fillId="0" borderId="8" xfId="25" applyNumberFormat="1" applyFont="1" applyBorder="1" applyAlignment="1" applyProtection="1">
      <alignment horizontal="right" vertical="center"/>
      <protection locked="0"/>
    </xf>
    <xf numFmtId="3" fontId="7" fillId="0" borderId="0" xfId="24" applyNumberFormat="1" applyFont="1" applyBorder="1" applyProtection="1">
      <alignment/>
      <protection hidden="1"/>
    </xf>
    <xf numFmtId="10" fontId="14" fillId="0" borderId="0" xfId="25" applyNumberFormat="1" applyFont="1" applyBorder="1" applyAlignment="1" applyProtection="1">
      <alignment horizontal="right" vertical="center"/>
      <protection locked="0"/>
    </xf>
    <xf numFmtId="10" fontId="7" fillId="0" borderId="0" xfId="24" applyNumberFormat="1" applyFont="1" applyAlignment="1" applyProtection="1">
      <alignment horizontal="centerContinuous" vertical="center"/>
      <protection hidden="1"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10" fontId="6" fillId="0" borderId="5" xfId="25" applyNumberFormat="1" applyFont="1" applyBorder="1" applyAlignment="1" applyProtection="1">
      <alignment horizontal="right" vertical="center"/>
      <protection locked="0"/>
    </xf>
    <xf numFmtId="0" fontId="11" fillId="0" borderId="0" xfId="24" applyFont="1" applyProtection="1">
      <alignment/>
      <protection hidden="1"/>
    </xf>
    <xf numFmtId="0" fontId="20" fillId="0" borderId="0" xfId="21" applyFont="1" applyAlignment="1">
      <alignment vertical="center"/>
      <protection/>
    </xf>
    <xf numFmtId="0" fontId="18" fillId="0" borderId="0" xfId="21" applyFont="1" applyAlignment="1">
      <alignment horizontal="right"/>
      <protection/>
    </xf>
    <xf numFmtId="3" fontId="7" fillId="0" borderId="8" xfId="0" applyNumberFormat="1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/>
    </xf>
    <xf numFmtId="3" fontId="7" fillId="0" borderId="1" xfId="0" applyNumberFormat="1" applyFont="1" applyBorder="1" applyAlignment="1" applyProtection="1">
      <alignment/>
      <protection hidden="1"/>
    </xf>
    <xf numFmtId="0" fontId="7" fillId="0" borderId="0" xfId="0" applyFont="1" applyFill="1" applyAlignment="1">
      <alignment/>
    </xf>
    <xf numFmtId="3" fontId="8" fillId="0" borderId="1" xfId="0" applyNumberFormat="1" applyFont="1" applyFill="1" applyBorder="1" applyAlignment="1">
      <alignment/>
    </xf>
    <xf numFmtId="3" fontId="12" fillId="0" borderId="0" xfId="26" applyNumberFormat="1" applyFont="1" applyBorder="1" applyAlignment="1">
      <alignment horizontal="centerContinuous" vertical="center" wrapText="1"/>
      <protection/>
    </xf>
    <xf numFmtId="3" fontId="10" fillId="0" borderId="0" xfId="26" applyNumberFormat="1" applyFont="1" applyBorder="1">
      <alignment/>
      <protection/>
    </xf>
    <xf numFmtId="0" fontId="30" fillId="0" borderId="0" xfId="27" applyFont="1" applyBorder="1">
      <alignment/>
      <protection/>
    </xf>
    <xf numFmtId="0" fontId="19" fillId="0" borderId="4" xfId="26" applyFont="1" applyBorder="1">
      <alignment/>
      <protection/>
    </xf>
    <xf numFmtId="0" fontId="8" fillId="0" borderId="1" xfId="24" applyFont="1" applyBorder="1" applyAlignment="1" applyProtection="1">
      <alignment horizontal="right" vertical="center"/>
      <protection hidden="1"/>
    </xf>
    <xf numFmtId="0" fontId="8" fillId="0" borderId="1" xfId="24" applyFont="1" applyBorder="1" applyAlignment="1" applyProtection="1">
      <alignment vertical="center"/>
      <protection hidden="1"/>
    </xf>
    <xf numFmtId="0" fontId="8" fillId="0" borderId="0" xfId="24" applyFont="1" applyAlignment="1" applyProtection="1">
      <alignment vertical="center"/>
      <protection hidden="1"/>
    </xf>
    <xf numFmtId="0" fontId="8" fillId="0" borderId="5" xfId="24" applyFont="1" applyBorder="1" applyAlignment="1" applyProtection="1">
      <alignment horizontal="right"/>
      <protection hidden="1"/>
    </xf>
    <xf numFmtId="10" fontId="8" fillId="0" borderId="5" xfId="25" applyNumberFormat="1" applyFont="1" applyBorder="1" applyAlignment="1" applyProtection="1">
      <alignment horizontal="right" vertical="center"/>
      <protection locked="0"/>
    </xf>
    <xf numFmtId="0" fontId="8" fillId="0" borderId="0" xfId="24" applyFont="1" applyProtection="1">
      <alignment/>
      <protection hidden="1"/>
    </xf>
    <xf numFmtId="0" fontId="8" fillId="0" borderId="1" xfId="24" applyFont="1" applyBorder="1" applyAlignment="1" applyProtection="1">
      <alignment horizontal="right"/>
      <protection hidden="1"/>
    </xf>
    <xf numFmtId="3" fontId="18" fillId="0" borderId="1" xfId="0" applyNumberFormat="1" applyFont="1" applyBorder="1" applyAlignment="1">
      <alignment/>
    </xf>
    <xf numFmtId="182" fontId="6" fillId="0" borderId="1" xfId="24" applyNumberFormat="1" applyFont="1" applyBorder="1" applyAlignment="1" applyProtection="1">
      <alignment horizontal="right" vertical="center"/>
      <protection hidden="1"/>
    </xf>
    <xf numFmtId="3" fontId="11" fillId="0" borderId="1" xfId="24" applyNumberFormat="1" applyFont="1" applyBorder="1" applyAlignment="1" applyProtection="1">
      <alignment horizontal="right" vertical="center"/>
      <protection locked="0"/>
    </xf>
    <xf numFmtId="3" fontId="11" fillId="0" borderId="1" xfId="24" applyNumberFormat="1" applyFont="1" applyBorder="1" applyAlignment="1" applyProtection="1">
      <alignment horizontal="right" vertical="center"/>
      <protection locked="0"/>
    </xf>
    <xf numFmtId="3" fontId="6" fillId="0" borderId="12" xfId="24" applyNumberFormat="1" applyFont="1" applyBorder="1" applyAlignment="1" applyProtection="1">
      <alignment/>
      <protection hidden="1"/>
    </xf>
    <xf numFmtId="3" fontId="6" fillId="0" borderId="0" xfId="24" applyNumberFormat="1" applyFont="1" applyProtection="1">
      <alignment/>
      <protection hidden="1"/>
    </xf>
    <xf numFmtId="182" fontId="6" fillId="0" borderId="1" xfId="24" applyNumberFormat="1" applyFont="1" applyBorder="1" applyAlignment="1" applyProtection="1">
      <alignment horizontal="right" vertical="center"/>
      <protection hidden="1"/>
    </xf>
    <xf numFmtId="3" fontId="6" fillId="0" borderId="3" xfId="24" applyNumberFormat="1" applyFont="1" applyBorder="1" applyAlignment="1" applyProtection="1">
      <alignment/>
      <protection hidden="1"/>
    </xf>
    <xf numFmtId="3" fontId="6" fillId="0" borderId="0" xfId="24" applyNumberFormat="1" applyFont="1" applyBorder="1" applyProtection="1">
      <alignment/>
      <protection hidden="1"/>
    </xf>
    <xf numFmtId="10" fontId="7" fillId="0" borderId="1" xfId="25" applyNumberFormat="1" applyFont="1" applyBorder="1" applyAlignment="1" applyProtection="1">
      <alignment horizontal="right" vertical="center"/>
      <protection locked="0"/>
    </xf>
    <xf numFmtId="3" fontId="6" fillId="0" borderId="5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vertical="center" wrapText="1"/>
    </xf>
    <xf numFmtId="3" fontId="18" fillId="0" borderId="1" xfId="26" applyNumberFormat="1" applyFont="1" applyFill="1" applyBorder="1" applyAlignment="1">
      <alignment horizontal="right" vertical="top"/>
      <protection/>
    </xf>
    <xf numFmtId="3" fontId="18" fillId="0" borderId="3" xfId="26" applyNumberFormat="1" applyFont="1" applyFill="1" applyBorder="1" applyProtection="1">
      <alignment/>
      <protection locked="0"/>
    </xf>
    <xf numFmtId="3" fontId="18" fillId="0" borderId="3" xfId="26" applyNumberFormat="1" applyFont="1" applyFill="1" applyBorder="1">
      <alignment/>
      <protection/>
    </xf>
    <xf numFmtId="3" fontId="18" fillId="0" borderId="3" xfId="26" applyNumberFormat="1" applyFont="1" applyBorder="1">
      <alignment/>
      <protection/>
    </xf>
    <xf numFmtId="3" fontId="18" fillId="0" borderId="1" xfId="26" applyNumberFormat="1" applyFont="1" applyBorder="1" applyProtection="1">
      <alignment/>
      <protection locked="0"/>
    </xf>
    <xf numFmtId="3" fontId="22" fillId="0" borderId="3" xfId="26" applyNumberFormat="1" applyFont="1" applyFill="1" applyBorder="1" applyAlignment="1">
      <alignment horizontal="right" vertical="top"/>
      <protection/>
    </xf>
    <xf numFmtId="3" fontId="18" fillId="0" borderId="3" xfId="26" applyNumberFormat="1" applyFont="1" applyBorder="1" applyAlignment="1">
      <alignment vertical="center" wrapText="1"/>
      <protection/>
    </xf>
    <xf numFmtId="3" fontId="18" fillId="0" borderId="1" xfId="26" applyNumberFormat="1" applyFont="1" applyBorder="1" applyAlignment="1">
      <alignment vertical="center" wrapText="1"/>
      <protection/>
    </xf>
    <xf numFmtId="3" fontId="18" fillId="0" borderId="5" xfId="26" applyNumberFormat="1" applyFont="1" applyFill="1" applyBorder="1" applyAlignment="1">
      <alignment horizontal="right" vertical="top"/>
      <protection/>
    </xf>
    <xf numFmtId="3" fontId="18" fillId="0" borderId="3" xfId="26" applyNumberFormat="1" applyFont="1" applyBorder="1" applyProtection="1">
      <alignment/>
      <protection locked="0"/>
    </xf>
    <xf numFmtId="3" fontId="18" fillId="0" borderId="2" xfId="26" applyNumberFormat="1" applyFont="1" applyBorder="1" applyAlignment="1">
      <alignment horizontal="right"/>
      <protection/>
    </xf>
    <xf numFmtId="3" fontId="6" fillId="0" borderId="1" xfId="25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 applyProtection="1" quotePrefix="1">
      <alignment horizontal="left" vertical="center" indent="1"/>
      <protection hidden="1"/>
    </xf>
    <xf numFmtId="0" fontId="6" fillId="0" borderId="1" xfId="24" applyFont="1" applyBorder="1" applyAlignment="1" applyProtection="1">
      <alignment horizontal="left" vertical="center" indent="1"/>
      <protection hidden="1"/>
    </xf>
    <xf numFmtId="0" fontId="8" fillId="0" borderId="1" xfId="24" applyFont="1" applyBorder="1" applyProtection="1">
      <alignment/>
      <protection hidden="1"/>
    </xf>
    <xf numFmtId="0" fontId="8" fillId="0" borderId="1" xfId="24" applyFont="1" applyBorder="1" applyAlignment="1" applyProtection="1">
      <alignment/>
      <protection hidden="1"/>
    </xf>
    <xf numFmtId="3" fontId="8" fillId="0" borderId="1" xfId="24" applyNumberFormat="1" applyFont="1" applyBorder="1" applyAlignment="1" applyProtection="1">
      <alignment/>
      <protection hidden="1"/>
    </xf>
    <xf numFmtId="3" fontId="6" fillId="0" borderId="1" xfId="0" applyNumberFormat="1" applyFont="1" applyFill="1" applyBorder="1" applyAlignment="1">
      <alignment/>
    </xf>
    <xf numFmtId="0" fontId="6" fillId="0" borderId="9" xfId="26" applyFont="1" applyBorder="1" applyAlignment="1">
      <alignment/>
      <protection/>
    </xf>
    <xf numFmtId="0" fontId="19" fillId="0" borderId="6" xfId="26" applyFont="1" applyBorder="1" quotePrefix="1">
      <alignment/>
      <protection/>
    </xf>
    <xf numFmtId="3" fontId="18" fillId="0" borderId="6" xfId="26" applyNumberFormat="1" applyFont="1" applyBorder="1" applyAlignment="1">
      <alignment horizontal="center" vertical="center" wrapText="1"/>
      <protection/>
    </xf>
    <xf numFmtId="3" fontId="19" fillId="0" borderId="2" xfId="26" applyNumberFormat="1" applyFont="1" applyFill="1" applyBorder="1" quotePrefix="1">
      <alignment/>
      <protection/>
    </xf>
    <xf numFmtId="10" fontId="8" fillId="0" borderId="1" xfId="0" applyNumberFormat="1" applyFont="1" applyFill="1" applyBorder="1" applyAlignment="1">
      <alignment/>
    </xf>
    <xf numFmtId="3" fontId="16" fillId="0" borderId="1" xfId="26" applyNumberFormat="1" applyFont="1" applyFill="1" applyBorder="1" applyAlignment="1">
      <alignment horizontal="right" vertical="top"/>
      <protection/>
    </xf>
    <xf numFmtId="3" fontId="16" fillId="0" borderId="8" xfId="26" applyNumberFormat="1" applyFont="1" applyBorder="1" applyAlignment="1" applyProtection="1">
      <alignment horizontal="right" vertical="top"/>
      <protection locked="0"/>
    </xf>
    <xf numFmtId="3" fontId="16" fillId="0" borderId="2" xfId="26" applyNumberFormat="1" applyFont="1" applyBorder="1" applyAlignment="1" applyProtection="1">
      <alignment horizontal="right" vertical="top"/>
      <protection locked="0"/>
    </xf>
    <xf numFmtId="0" fontId="7" fillId="0" borderId="5" xfId="24" applyFont="1" applyBorder="1" applyAlignment="1" applyProtection="1">
      <alignment horizontal="right" vertical="center"/>
      <protection hidden="1"/>
    </xf>
    <xf numFmtId="0" fontId="7" fillId="0" borderId="5" xfId="0" applyFont="1" applyBorder="1" applyAlignment="1">
      <alignment horizontal="left" vertical="center" wrapText="1"/>
    </xf>
    <xf numFmtId="3" fontId="7" fillId="0" borderId="5" xfId="24" applyNumberFormat="1" applyFont="1" applyBorder="1" applyAlignment="1" applyProtection="1">
      <alignment horizontal="right" vertical="center"/>
      <protection locked="0"/>
    </xf>
    <xf numFmtId="0" fontId="6" fillId="0" borderId="8" xfId="24" applyFont="1" applyBorder="1" applyAlignment="1" applyProtection="1">
      <alignment horizontal="right" vertical="center"/>
      <protection hidden="1"/>
    </xf>
    <xf numFmtId="0" fontId="6" fillId="0" borderId="8" xfId="0" applyFont="1" applyBorder="1" applyAlignment="1">
      <alignment vertical="center" wrapText="1"/>
    </xf>
    <xf numFmtId="0" fontId="6" fillId="0" borderId="5" xfId="24" applyFont="1" applyBorder="1" applyAlignment="1" applyProtection="1">
      <alignment horizontal="right" vertical="center"/>
      <protection hidden="1"/>
    </xf>
    <xf numFmtId="0" fontId="6" fillId="0" borderId="5" xfId="0" applyFont="1" applyBorder="1" applyAlignment="1">
      <alignment wrapText="1"/>
    </xf>
    <xf numFmtId="0" fontId="6" fillId="0" borderId="8" xfId="0" applyFont="1" applyBorder="1" applyAlignment="1">
      <alignment wrapText="1"/>
    </xf>
    <xf numFmtId="10" fontId="6" fillId="0" borderId="12" xfId="25" applyNumberFormat="1" applyFont="1" applyBorder="1" applyAlignment="1" applyProtection="1">
      <alignment horizontal="right" vertical="center"/>
      <protection locked="0"/>
    </xf>
    <xf numFmtId="10" fontId="6" fillId="0" borderId="9" xfId="25" applyNumberFormat="1" applyFont="1" applyBorder="1" applyAlignment="1" applyProtection="1">
      <alignment horizontal="right" vertical="center"/>
      <protection locked="0"/>
    </xf>
    <xf numFmtId="0" fontId="6" fillId="0" borderId="5" xfId="24" applyFont="1" applyBorder="1" applyAlignment="1" applyProtection="1" quotePrefix="1">
      <alignment vertical="center"/>
      <protection hidden="1"/>
    </xf>
    <xf numFmtId="0" fontId="6" fillId="0" borderId="8" xfId="24" applyFont="1" applyBorder="1" applyAlignment="1" applyProtection="1">
      <alignment vertical="center" wrapText="1"/>
      <protection hidden="1"/>
    </xf>
    <xf numFmtId="0" fontId="6" fillId="0" borderId="5" xfId="24" applyFont="1" applyBorder="1" applyAlignment="1" applyProtection="1">
      <alignment vertical="center" wrapText="1"/>
      <protection hidden="1"/>
    </xf>
    <xf numFmtId="0" fontId="19" fillId="0" borderId="12" xfId="26" applyFont="1" applyBorder="1" applyAlignment="1">
      <alignment horizontal="right"/>
      <protection/>
    </xf>
    <xf numFmtId="0" fontId="22" fillId="0" borderId="12" xfId="26" applyFont="1" applyBorder="1">
      <alignment/>
      <protection/>
    </xf>
    <xf numFmtId="3" fontId="19" fillId="0" borderId="10" xfId="26" applyNumberFormat="1" applyFont="1" applyBorder="1" applyAlignment="1">
      <alignment horizontal="right" vertical="top"/>
      <protection/>
    </xf>
    <xf numFmtId="3" fontId="19" fillId="0" borderId="10" xfId="26" applyNumberFormat="1" applyFont="1" applyBorder="1" applyAlignment="1" applyProtection="1">
      <alignment horizontal="right" vertical="top"/>
      <protection locked="0"/>
    </xf>
    <xf numFmtId="0" fontId="19" fillId="0" borderId="9" xfId="26" applyFont="1" applyBorder="1" applyAlignment="1">
      <alignment horizontal="right"/>
      <protection/>
    </xf>
    <xf numFmtId="0" fontId="22" fillId="0" borderId="9" xfId="26" applyFont="1" applyBorder="1">
      <alignment/>
      <protection/>
    </xf>
    <xf numFmtId="0" fontId="11" fillId="0" borderId="6" xfId="26" applyFont="1" applyBorder="1">
      <alignment/>
      <protection/>
    </xf>
    <xf numFmtId="3" fontId="19" fillId="0" borderId="6" xfId="26" applyNumberFormat="1" applyFont="1" applyBorder="1" applyAlignment="1">
      <alignment horizontal="right" vertical="top"/>
      <protection/>
    </xf>
    <xf numFmtId="3" fontId="19" fillId="0" borderId="6" xfId="26" applyNumberFormat="1" applyFont="1" applyBorder="1" applyAlignment="1" applyProtection="1">
      <alignment horizontal="right" vertical="top"/>
      <protection locked="0"/>
    </xf>
    <xf numFmtId="3" fontId="18" fillId="0" borderId="9" xfId="26" applyNumberFormat="1" applyFont="1" applyFill="1" applyBorder="1" applyAlignment="1">
      <alignment horizontal="right" vertical="top"/>
      <protection/>
    </xf>
    <xf numFmtId="10" fontId="18" fillId="0" borderId="8" xfId="26" applyNumberFormat="1" applyFont="1" applyFill="1" applyBorder="1" applyAlignment="1">
      <alignment horizontal="right" vertical="top"/>
      <protection/>
    </xf>
    <xf numFmtId="0" fontId="18" fillId="0" borderId="7" xfId="0" applyFont="1" applyBorder="1" applyAlignment="1">
      <alignment wrapText="1"/>
    </xf>
    <xf numFmtId="0" fontId="19" fillId="0" borderId="12" xfId="26" applyFont="1" applyBorder="1" quotePrefix="1">
      <alignment/>
      <protection/>
    </xf>
    <xf numFmtId="0" fontId="7" fillId="0" borderId="10" xfId="26" applyFont="1" applyBorder="1">
      <alignment/>
      <protection/>
    </xf>
    <xf numFmtId="0" fontId="19" fillId="0" borderId="9" xfId="26" applyFont="1" applyBorder="1" quotePrefix="1">
      <alignment/>
      <protection/>
    </xf>
    <xf numFmtId="0" fontId="7" fillId="0" borderId="6" xfId="26" applyFont="1" applyBorder="1">
      <alignment/>
      <protection/>
    </xf>
    <xf numFmtId="3" fontId="18" fillId="0" borderId="8" xfId="26" applyNumberFormat="1" applyFont="1" applyFill="1" applyBorder="1" applyAlignment="1">
      <alignment horizontal="right" vertical="top"/>
      <protection/>
    </xf>
    <xf numFmtId="0" fontId="6" fillId="0" borderId="10" xfId="26" applyFont="1" applyBorder="1" applyAlignment="1">
      <alignment/>
      <protection/>
    </xf>
    <xf numFmtId="3" fontId="19" fillId="0" borderId="10" xfId="26" applyNumberFormat="1" applyFont="1" applyBorder="1">
      <alignment/>
      <protection/>
    </xf>
    <xf numFmtId="0" fontId="18" fillId="0" borderId="11" xfId="26" applyFont="1" applyBorder="1" applyAlignment="1" quotePrefix="1">
      <alignment/>
      <protection/>
    </xf>
    <xf numFmtId="3" fontId="19" fillId="0" borderId="11" xfId="26" applyNumberFormat="1" applyFont="1" applyBorder="1">
      <alignment/>
      <protection/>
    </xf>
    <xf numFmtId="0" fontId="6" fillId="0" borderId="6" xfId="26" applyFont="1" applyBorder="1" applyAlignment="1">
      <alignment/>
      <protection/>
    </xf>
    <xf numFmtId="3" fontId="19" fillId="0" borderId="6" xfId="26" applyNumberFormat="1" applyFont="1" applyBorder="1">
      <alignment/>
      <protection/>
    </xf>
    <xf numFmtId="3" fontId="19" fillId="0" borderId="7" xfId="26" applyNumberFormat="1" applyFont="1" applyBorder="1">
      <alignment/>
      <protection/>
    </xf>
    <xf numFmtId="0" fontId="21" fillId="0" borderId="12" xfId="26" applyFont="1" applyBorder="1" applyAlignment="1">
      <alignment horizontal="right"/>
      <protection/>
    </xf>
    <xf numFmtId="3" fontId="18" fillId="0" borderId="10" xfId="26" applyNumberFormat="1" applyFont="1" applyBorder="1">
      <alignment/>
      <protection/>
    </xf>
    <xf numFmtId="0" fontId="18" fillId="0" borderId="10" xfId="26" applyFont="1" applyBorder="1">
      <alignment/>
      <protection/>
    </xf>
    <xf numFmtId="3" fontId="19" fillId="0" borderId="11" xfId="26" applyNumberFormat="1" applyFont="1" applyBorder="1">
      <alignment/>
      <protection/>
    </xf>
    <xf numFmtId="0" fontId="21" fillId="0" borderId="9" xfId="26" applyFont="1" applyBorder="1" applyAlignment="1">
      <alignment horizontal="right"/>
      <protection/>
    </xf>
    <xf numFmtId="3" fontId="18" fillId="0" borderId="6" xfId="26" applyNumberFormat="1" applyFont="1" applyBorder="1">
      <alignment/>
      <protection/>
    </xf>
    <xf numFmtId="0" fontId="18" fillId="0" borderId="6" xfId="26" applyFont="1" applyBorder="1">
      <alignment/>
      <protection/>
    </xf>
    <xf numFmtId="3" fontId="19" fillId="0" borderId="7" xfId="26" applyNumberFormat="1" applyFont="1" applyBorder="1">
      <alignment/>
      <protection/>
    </xf>
    <xf numFmtId="3" fontId="19" fillId="0" borderId="5" xfId="26" applyNumberFormat="1" applyFont="1" applyBorder="1">
      <alignment/>
      <protection/>
    </xf>
    <xf numFmtId="3" fontId="19" fillId="0" borderId="8" xfId="26" applyNumberFormat="1" applyFont="1" applyBorder="1">
      <alignment/>
      <protection/>
    </xf>
    <xf numFmtId="0" fontId="6" fillId="0" borderId="5" xfId="0" applyFont="1" applyBorder="1" applyAlignment="1" quotePrefix="1">
      <alignment wrapText="1"/>
    </xf>
    <xf numFmtId="3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10" fontId="6" fillId="0" borderId="5" xfId="0" applyNumberFormat="1" applyFont="1" applyBorder="1" applyAlignment="1">
      <alignment/>
    </xf>
    <xf numFmtId="0" fontId="6" fillId="0" borderId="8" xfId="0" applyFont="1" applyBorder="1" applyAlignment="1">
      <alignment horizontal="right"/>
    </xf>
    <xf numFmtId="3" fontId="6" fillId="0" borderId="8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10" fontId="6" fillId="0" borderId="8" xfId="0" applyNumberFormat="1" applyFont="1" applyBorder="1" applyAlignment="1">
      <alignment/>
    </xf>
    <xf numFmtId="0" fontId="6" fillId="0" borderId="5" xfId="0" applyFont="1" applyBorder="1" applyAlignment="1">
      <alignment horizontal="right"/>
    </xf>
    <xf numFmtId="10" fontId="6" fillId="0" borderId="5" xfId="0" applyNumberFormat="1" applyFont="1" applyBorder="1" applyAlignment="1">
      <alignment/>
    </xf>
    <xf numFmtId="0" fontId="6" fillId="0" borderId="8" xfId="0" applyFont="1" applyBorder="1" applyAlignment="1">
      <alignment horizontal="right"/>
    </xf>
    <xf numFmtId="10" fontId="6" fillId="0" borderId="8" xfId="0" applyNumberFormat="1" applyFont="1" applyBorder="1" applyAlignment="1">
      <alignment/>
    </xf>
    <xf numFmtId="10" fontId="7" fillId="0" borderId="5" xfId="25" applyNumberFormat="1" applyFont="1" applyBorder="1" applyAlignment="1" applyProtection="1">
      <alignment horizontal="right" vertical="center"/>
      <protection locked="0"/>
    </xf>
    <xf numFmtId="10" fontId="8" fillId="0" borderId="1" xfId="0" applyNumberFormat="1" applyFont="1" applyBorder="1" applyAlignment="1">
      <alignment/>
    </xf>
    <xf numFmtId="0" fontId="18" fillId="0" borderId="1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/>
    </xf>
    <xf numFmtId="3" fontId="6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/>
    </xf>
    <xf numFmtId="0" fontId="7" fillId="0" borderId="1" xfId="0" applyFont="1" applyBorder="1" applyAlignment="1">
      <alignment horizontal="left" wrapText="1"/>
    </xf>
    <xf numFmtId="0" fontId="17" fillId="0" borderId="1" xfId="26" applyFont="1" applyBorder="1">
      <alignment/>
      <protection/>
    </xf>
    <xf numFmtId="0" fontId="6" fillId="0" borderId="2" xfId="0" applyFont="1" applyBorder="1" applyAlignment="1">
      <alignment horizontal="left" vertical="center" wrapText="1"/>
    </xf>
    <xf numFmtId="0" fontId="20" fillId="0" borderId="1" xfId="21" applyFont="1" applyBorder="1" applyAlignment="1">
      <alignment/>
      <protection/>
    </xf>
    <xf numFmtId="0" fontId="6" fillId="0" borderId="1" xfId="0" applyFont="1" applyFill="1" applyBorder="1" applyAlignment="1">
      <alignment horizontal="center" vertical="center" wrapText="1"/>
    </xf>
    <xf numFmtId="10" fontId="6" fillId="0" borderId="1" xfId="25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1" xfId="0" applyFont="1" applyBorder="1" applyAlignment="1">
      <alignment horizontal="right" vertical="center"/>
    </xf>
    <xf numFmtId="3" fontId="6" fillId="0" borderId="1" xfId="0" applyNumberFormat="1" applyFont="1" applyFill="1" applyBorder="1" applyAlignment="1" quotePrefix="1">
      <alignment horizontal="center"/>
    </xf>
    <xf numFmtId="0" fontId="6" fillId="0" borderId="4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3" fontId="3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Continuous"/>
    </xf>
    <xf numFmtId="0" fontId="6" fillId="0" borderId="1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>
      <alignment/>
    </xf>
    <xf numFmtId="0" fontId="7" fillId="0" borderId="3" xfId="0" applyFont="1" applyBorder="1" applyAlignment="1" applyProtection="1">
      <alignment vertical="center"/>
      <protection hidden="1"/>
    </xf>
    <xf numFmtId="0" fontId="7" fillId="0" borderId="1" xfId="0" applyFont="1" applyBorder="1" applyAlignment="1">
      <alignment/>
    </xf>
    <xf numFmtId="0" fontId="7" fillId="0" borderId="1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7" fillId="0" borderId="3" xfId="0" applyFont="1" applyBorder="1" applyAlignment="1">
      <alignment horizontal="right"/>
    </xf>
    <xf numFmtId="0" fontId="7" fillId="0" borderId="3" xfId="0" applyFont="1" applyBorder="1" applyAlignment="1" applyProtection="1">
      <alignment vertical="center"/>
      <protection hidden="1"/>
    </xf>
    <xf numFmtId="3" fontId="7" fillId="0" borderId="1" xfId="0" applyNumberFormat="1" applyFont="1" applyBorder="1" applyAlignment="1">
      <alignment horizontal="right" vertical="center"/>
    </xf>
    <xf numFmtId="0" fontId="6" fillId="0" borderId="3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 wrapText="1"/>
      <protection hidden="1"/>
    </xf>
    <xf numFmtId="0" fontId="7" fillId="0" borderId="12" xfId="0" applyFont="1" applyBorder="1" applyAlignment="1" applyProtection="1">
      <alignment horizontal="left" vertical="center" wrapText="1"/>
      <protection hidden="1"/>
    </xf>
    <xf numFmtId="0" fontId="6" fillId="0" borderId="3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3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 applyProtection="1" quotePrefix="1">
      <alignment vertical="center"/>
      <protection hidden="1"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centerContinuous" wrapText="1"/>
    </xf>
    <xf numFmtId="0" fontId="6" fillId="0" borderId="0" xfId="0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7" fillId="0" borderId="3" xfId="0" applyFont="1" applyBorder="1" applyAlignment="1">
      <alignment/>
    </xf>
    <xf numFmtId="0" fontId="6" fillId="0" borderId="5" xfId="0" applyFont="1" applyBorder="1" applyAlignment="1" applyProtection="1">
      <alignment vertical="center"/>
      <protection hidden="1"/>
    </xf>
    <xf numFmtId="0" fontId="6" fillId="0" borderId="8" xfId="0" applyFont="1" applyBorder="1" applyAlignment="1" applyProtection="1">
      <alignment horizontal="left" vertical="center" indent="2"/>
      <protection hidden="1"/>
    </xf>
    <xf numFmtId="0" fontId="6" fillId="0" borderId="8" xfId="0" applyFont="1" applyBorder="1" applyAlignment="1" applyProtection="1">
      <alignment vertical="center"/>
      <protection hidden="1"/>
    </xf>
    <xf numFmtId="0" fontId="7" fillId="0" borderId="4" xfId="0" applyFont="1" applyBorder="1" applyAlignment="1">
      <alignment vertical="center" wrapText="1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quotePrefix="1">
      <alignment/>
    </xf>
    <xf numFmtId="16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8" xfId="0" applyFont="1" applyBorder="1" applyAlignment="1">
      <alignment horizontal="right"/>
    </xf>
    <xf numFmtId="3" fontId="6" fillId="0" borderId="1" xfId="0" applyNumberFormat="1" applyFont="1" applyBorder="1" applyAlignment="1" applyProtection="1">
      <alignment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4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 quotePrefix="1">
      <alignment vertical="center"/>
      <protection hidden="1"/>
    </xf>
    <xf numFmtId="3" fontId="6" fillId="0" borderId="1" xfId="0" applyNumberFormat="1" applyFont="1" applyBorder="1" applyAlignment="1" applyProtection="1">
      <alignment horizontal="right" vertical="center"/>
      <protection hidden="1"/>
    </xf>
    <xf numFmtId="0" fontId="6" fillId="0" borderId="4" xfId="0" applyFont="1" applyBorder="1" applyAlignment="1">
      <alignment/>
    </xf>
    <xf numFmtId="0" fontId="7" fillId="0" borderId="0" xfId="24" applyFont="1" applyBorder="1" applyAlignment="1" applyProtection="1">
      <alignment horizontal="centerContinuous" vertical="center"/>
      <protection hidden="1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 quotePrefix="1">
      <alignment horizontal="center"/>
    </xf>
    <xf numFmtId="0" fontId="6" fillId="0" borderId="1" xfId="24" applyFont="1" applyBorder="1" applyAlignment="1">
      <alignment horizontal="centerContinuous" vertical="center" wrapText="1"/>
      <protection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3" fontId="7" fillId="0" borderId="0" xfId="0" applyNumberFormat="1" applyFont="1" applyFill="1" applyAlignment="1">
      <alignment horizontal="centerContinuous"/>
    </xf>
    <xf numFmtId="0" fontId="8" fillId="0" borderId="0" xfId="0" applyFont="1" applyAlignment="1">
      <alignment horizontal="centerContinuous" wrapText="1"/>
    </xf>
    <xf numFmtId="0" fontId="8" fillId="0" borderId="0" xfId="0" applyFont="1" applyFill="1" applyAlignment="1">
      <alignment horizontal="centerContinuous"/>
    </xf>
    <xf numFmtId="3" fontId="8" fillId="0" borderId="0" xfId="0" applyNumberFormat="1" applyFont="1" applyFill="1" applyAlignment="1">
      <alignment horizontal="centerContinuous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173" fontId="7" fillId="0" borderId="1" xfId="0" applyNumberFormat="1" applyFont="1" applyFill="1" applyBorder="1" applyAlignment="1">
      <alignment horizontal="right"/>
    </xf>
    <xf numFmtId="173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7" fillId="0" borderId="3" xfId="0" applyFont="1" applyBorder="1" applyAlignment="1">
      <alignment wrapText="1"/>
    </xf>
    <xf numFmtId="3" fontId="7" fillId="0" borderId="5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10" fontId="7" fillId="0" borderId="2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10" fontId="6" fillId="0" borderId="11" xfId="0" applyNumberFormat="1" applyFont="1" applyFill="1" applyBorder="1" applyAlignment="1">
      <alignment/>
    </xf>
    <xf numFmtId="10" fontId="6" fillId="0" borderId="5" xfId="0" applyNumberFormat="1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10" fontId="6" fillId="0" borderId="7" xfId="0" applyNumberFormat="1" applyFont="1" applyFill="1" applyBorder="1" applyAlignment="1">
      <alignment/>
    </xf>
    <xf numFmtId="10" fontId="6" fillId="0" borderId="8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0" fontId="39" fillId="0" borderId="2" xfId="26" applyFont="1" applyBorder="1" applyAlignment="1" quotePrefix="1">
      <alignment/>
      <protection/>
    </xf>
    <xf numFmtId="10" fontId="6" fillId="0" borderId="1" xfId="0" applyNumberFormat="1" applyFont="1" applyFill="1" applyBorder="1" applyAlignment="1">
      <alignment/>
    </xf>
    <xf numFmtId="0" fontId="39" fillId="0" borderId="2" xfId="26" applyFont="1" applyBorder="1" quotePrefix="1">
      <alignment/>
      <protection/>
    </xf>
    <xf numFmtId="3" fontId="8" fillId="0" borderId="1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10" fontId="7" fillId="0" borderId="1" xfId="0" applyNumberFormat="1" applyFont="1" applyFill="1" applyBorder="1" applyAlignment="1">
      <alignment vertical="center"/>
    </xf>
    <xf numFmtId="0" fontId="6" fillId="0" borderId="2" xfId="26" applyFont="1" applyBorder="1" applyAlignment="1" quotePrefix="1">
      <alignment/>
      <protection/>
    </xf>
    <xf numFmtId="3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0" fontId="39" fillId="0" borderId="2" xfId="26" applyFont="1" applyBorder="1" applyAlignment="1" quotePrefix="1">
      <alignment/>
      <protection/>
    </xf>
    <xf numFmtId="0" fontId="6" fillId="0" borderId="2" xfId="0" applyFont="1" applyBorder="1" applyAlignment="1" quotePrefix="1">
      <alignment wrapText="1"/>
    </xf>
    <xf numFmtId="3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10" fontId="8" fillId="0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 quotePrefix="1">
      <alignment horizontal="right" wrapText="1"/>
    </xf>
    <xf numFmtId="3" fontId="7" fillId="0" borderId="1" xfId="0" applyNumberFormat="1" applyFont="1" applyBorder="1" applyAlignment="1" quotePrefix="1">
      <alignment horizontal="right" wrapText="1"/>
    </xf>
    <xf numFmtId="0" fontId="6" fillId="0" borderId="2" xfId="0" applyFont="1" applyBorder="1" applyAlignment="1" quotePrefix="1">
      <alignment horizontal="left" wrapText="1"/>
    </xf>
    <xf numFmtId="3" fontId="6" fillId="0" borderId="1" xfId="0" applyNumberFormat="1" applyFont="1" applyBorder="1" applyAlignment="1" quotePrefix="1">
      <alignment horizontal="right" wrapText="1"/>
    </xf>
    <xf numFmtId="0" fontId="6" fillId="0" borderId="1" xfId="0" applyFont="1" applyBorder="1" applyAlignment="1" quotePrefix="1">
      <alignment horizontal="left" wrapText="1"/>
    </xf>
    <xf numFmtId="3" fontId="7" fillId="0" borderId="4" xfId="0" applyNumberFormat="1" applyFont="1" applyBorder="1" applyAlignment="1" quotePrefix="1">
      <alignment horizontal="right" wrapText="1"/>
    </xf>
    <xf numFmtId="0" fontId="6" fillId="0" borderId="1" xfId="0" applyFont="1" applyFill="1" applyBorder="1" applyAlignment="1">
      <alignment/>
    </xf>
    <xf numFmtId="0" fontId="8" fillId="0" borderId="1" xfId="24" applyFont="1" applyFill="1" applyBorder="1" applyAlignment="1" applyProtection="1">
      <alignment vertical="center"/>
      <protection hidden="1"/>
    </xf>
    <xf numFmtId="0" fontId="7" fillId="0" borderId="1" xfId="0" applyFont="1" applyFill="1" applyBorder="1" applyAlignment="1">
      <alignment/>
    </xf>
    <xf numFmtId="10" fontId="6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vertical="center"/>
    </xf>
    <xf numFmtId="10" fontId="6" fillId="0" borderId="1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10" fontId="6" fillId="0" borderId="5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10" fontId="6" fillId="0" borderId="8" xfId="0" applyNumberFormat="1" applyFont="1" applyFill="1" applyBorder="1" applyAlignment="1">
      <alignment vertical="center"/>
    </xf>
    <xf numFmtId="10" fontId="6" fillId="0" borderId="5" xfId="0" applyNumberFormat="1" applyFont="1" applyFill="1" applyBorder="1" applyAlignment="1">
      <alignment/>
    </xf>
    <xf numFmtId="10" fontId="6" fillId="0" borderId="8" xfId="0" applyNumberFormat="1" applyFont="1" applyFill="1" applyBorder="1" applyAlignment="1">
      <alignment/>
    </xf>
    <xf numFmtId="0" fontId="8" fillId="0" borderId="1" xfId="24" applyFont="1" applyBorder="1" applyAlignment="1" applyProtection="1">
      <alignment vertical="center" wrapText="1"/>
      <protection hidden="1"/>
    </xf>
    <xf numFmtId="10" fontId="8" fillId="0" borderId="1" xfId="0" applyNumberFormat="1" applyFont="1" applyFill="1" applyBorder="1" applyAlignment="1">
      <alignment vertical="center"/>
    </xf>
    <xf numFmtId="3" fontId="8" fillId="0" borderId="1" xfId="24" applyNumberFormat="1" applyFont="1" applyBorder="1" applyAlignment="1" applyProtection="1">
      <alignment vertical="center"/>
      <protection hidden="1"/>
    </xf>
    <xf numFmtId="0" fontId="14" fillId="0" borderId="0" xfId="0" applyFont="1" applyAlignment="1">
      <alignment horizontal="centerContinuous"/>
    </xf>
    <xf numFmtId="0" fontId="6" fillId="0" borderId="1" xfId="0" applyFont="1" applyBorder="1" applyAlignment="1" quotePrefix="1">
      <alignment horizontal="left"/>
    </xf>
    <xf numFmtId="0" fontId="6" fillId="0" borderId="1" xfId="0" applyFont="1" applyBorder="1" applyAlignment="1" quotePrefix="1">
      <alignment/>
    </xf>
    <xf numFmtId="0" fontId="8" fillId="0" borderId="1" xfId="0" applyFont="1" applyBorder="1" applyAlignment="1">
      <alignment/>
    </xf>
    <xf numFmtId="0" fontId="6" fillId="0" borderId="5" xfId="26" applyFont="1" applyBorder="1" applyAlignment="1" quotePrefix="1">
      <alignment/>
      <protection/>
    </xf>
    <xf numFmtId="0" fontId="23" fillId="0" borderId="0" xfId="24" applyFont="1" applyProtection="1">
      <alignment/>
      <protection hidden="1"/>
    </xf>
    <xf numFmtId="3" fontId="19" fillId="0" borderId="10" xfId="26" applyNumberFormat="1" applyFont="1" applyFill="1" applyBorder="1" quotePrefix="1">
      <alignment/>
      <protection/>
    </xf>
    <xf numFmtId="0" fontId="18" fillId="0" borderId="6" xfId="0" applyFont="1" applyBorder="1" applyAlignment="1">
      <alignment wrapText="1"/>
    </xf>
    <xf numFmtId="3" fontId="19" fillId="0" borderId="3" xfId="26" applyNumberFormat="1" applyFont="1" applyBorder="1" applyAlignment="1" applyProtection="1">
      <alignment horizontal="right" vertical="top"/>
      <protection locked="0"/>
    </xf>
    <xf numFmtId="0" fontId="7" fillId="0" borderId="1" xfId="24" applyFont="1" applyBorder="1" applyAlignment="1" applyProtection="1">
      <alignment vertical="center"/>
      <protection hidden="1"/>
    </xf>
    <xf numFmtId="0" fontId="35" fillId="0" borderId="0" xfId="0" applyFont="1" applyAlignment="1">
      <alignment/>
    </xf>
    <xf numFmtId="0" fontId="35" fillId="0" borderId="1" xfId="0" applyFont="1" applyBorder="1" applyAlignment="1">
      <alignment/>
    </xf>
    <xf numFmtId="0" fontId="18" fillId="0" borderId="1" xfId="21" applyFont="1" applyBorder="1" applyAlignment="1">
      <alignment horizontal="center" vertical="center" wrapText="1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Alignment="1">
      <alignment vertical="center"/>
      <protection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7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28" applyFont="1" applyAlignment="1">
      <alignment horizontal="centerContinuous"/>
      <protection/>
    </xf>
    <xf numFmtId="0" fontId="23" fillId="0" borderId="0" xfId="28" applyFont="1" applyAlignment="1">
      <alignment horizontal="centerContinuous"/>
      <protection/>
    </xf>
    <xf numFmtId="0" fontId="42" fillId="0" borderId="0" xfId="28" applyFont="1">
      <alignment/>
      <protection/>
    </xf>
    <xf numFmtId="0" fontId="6" fillId="0" borderId="0" xfId="28" applyFont="1">
      <alignment/>
      <protection/>
    </xf>
    <xf numFmtId="0" fontId="7" fillId="0" borderId="0" xfId="28" applyFont="1">
      <alignment/>
      <protection/>
    </xf>
    <xf numFmtId="0" fontId="20" fillId="0" borderId="0" xfId="28" applyFont="1" applyAlignment="1">
      <alignment horizontal="right"/>
      <protection/>
    </xf>
    <xf numFmtId="0" fontId="9" fillId="0" borderId="0" xfId="28">
      <alignment/>
      <protection/>
    </xf>
    <xf numFmtId="0" fontId="18" fillId="0" borderId="1" xfId="28" applyFont="1" applyBorder="1" applyAlignment="1">
      <alignment horizontal="center" vertical="center"/>
      <protection/>
    </xf>
    <xf numFmtId="0" fontId="18" fillId="0" borderId="11" xfId="28" applyFont="1" applyBorder="1" applyAlignment="1">
      <alignment horizontal="center" vertical="center" wrapText="1"/>
      <protection/>
    </xf>
    <xf numFmtId="0" fontId="18" fillId="0" borderId="5" xfId="28" applyFont="1" applyBorder="1" applyAlignment="1">
      <alignment horizontal="center" vertical="center" wrapText="1"/>
      <protection/>
    </xf>
    <xf numFmtId="0" fontId="18" fillId="0" borderId="5" xfId="28" applyFont="1" applyBorder="1" applyAlignment="1">
      <alignment horizontal="center" vertical="center"/>
      <protection/>
    </xf>
    <xf numFmtId="0" fontId="29" fillId="0" borderId="0" xfId="28" applyFont="1">
      <alignment/>
      <protection/>
    </xf>
    <xf numFmtId="0" fontId="7" fillId="0" borderId="1" xfId="28" applyFont="1" applyBorder="1" applyAlignment="1">
      <alignment horizontal="left" vertical="center"/>
      <protection/>
    </xf>
    <xf numFmtId="0" fontId="41" fillId="0" borderId="4" xfId="28" applyFont="1" applyBorder="1" applyAlignment="1">
      <alignment horizontal="center" vertical="center" wrapText="1"/>
      <protection/>
    </xf>
    <xf numFmtId="0" fontId="41" fillId="0" borderId="4" xfId="28" applyFont="1" applyBorder="1" applyAlignment="1">
      <alignment horizontal="center" vertical="center"/>
      <protection/>
    </xf>
    <xf numFmtId="0" fontId="41" fillId="0" borderId="2" xfId="28" applyFont="1" applyBorder="1" applyAlignment="1">
      <alignment horizontal="center" vertical="center"/>
      <protection/>
    </xf>
    <xf numFmtId="0" fontId="30" fillId="0" borderId="0" xfId="28" applyFont="1">
      <alignment/>
      <protection/>
    </xf>
    <xf numFmtId="3" fontId="27" fillId="0" borderId="7" xfId="28" applyNumberFormat="1" applyFont="1" applyFill="1" applyBorder="1">
      <alignment/>
      <protection/>
    </xf>
    <xf numFmtId="3" fontId="41" fillId="0" borderId="7" xfId="28" applyNumberFormat="1" applyFont="1" applyFill="1" applyBorder="1">
      <alignment/>
      <protection/>
    </xf>
    <xf numFmtId="3" fontId="43" fillId="0" borderId="0" xfId="28" applyNumberFormat="1" applyFont="1">
      <alignment/>
      <protection/>
    </xf>
    <xf numFmtId="0" fontId="43" fillId="0" borderId="0" xfId="28" applyFont="1">
      <alignment/>
      <protection/>
    </xf>
    <xf numFmtId="0" fontId="18" fillId="0" borderId="1" xfId="24" applyFont="1" applyBorder="1" applyAlignment="1" applyProtection="1">
      <alignment horizontal="left" vertical="center" wrapText="1"/>
      <protection hidden="1"/>
    </xf>
    <xf numFmtId="0" fontId="18" fillId="0" borderId="1" xfId="24" applyFont="1" applyFill="1" applyBorder="1" applyAlignment="1" applyProtection="1">
      <alignment vertical="center"/>
      <protection hidden="1"/>
    </xf>
    <xf numFmtId="0" fontId="44" fillId="0" borderId="1" xfId="28" applyFont="1" applyFill="1" applyBorder="1">
      <alignment/>
      <protection/>
    </xf>
    <xf numFmtId="0" fontId="43" fillId="0" borderId="0" xfId="28" applyFont="1" applyFill="1">
      <alignment/>
      <protection/>
    </xf>
    <xf numFmtId="3" fontId="27" fillId="0" borderId="1" xfId="28" applyNumberFormat="1" applyFont="1" applyFill="1" applyBorder="1">
      <alignment/>
      <protection/>
    </xf>
    <xf numFmtId="3" fontId="27" fillId="0" borderId="7" xfId="28" applyNumberFormat="1" applyFont="1" applyBorder="1">
      <alignment/>
      <protection/>
    </xf>
    <xf numFmtId="3" fontId="28" fillId="0" borderId="7" xfId="28" applyNumberFormat="1" applyFont="1" applyFill="1" applyBorder="1">
      <alignment/>
      <protection/>
    </xf>
    <xf numFmtId="0" fontId="45" fillId="0" borderId="0" xfId="28" applyFont="1" applyFill="1">
      <alignment/>
      <protection/>
    </xf>
    <xf numFmtId="0" fontId="43" fillId="0" borderId="0" xfId="28" applyFont="1" applyFill="1">
      <alignment/>
      <protection/>
    </xf>
    <xf numFmtId="0" fontId="7" fillId="0" borderId="1" xfId="28" applyFont="1" applyBorder="1">
      <alignment/>
      <protection/>
    </xf>
    <xf numFmtId="3" fontId="41" fillId="0" borderId="7" xfId="28" applyNumberFormat="1" applyFont="1" applyBorder="1">
      <alignment/>
      <protection/>
    </xf>
    <xf numFmtId="0" fontId="9" fillId="0" borderId="0" xfId="28" applyFont="1">
      <alignment/>
      <protection/>
    </xf>
    <xf numFmtId="0" fontId="18" fillId="0" borderId="1" xfId="24" applyFont="1" applyBorder="1" applyAlignment="1" applyProtection="1">
      <alignment/>
      <protection hidden="1"/>
    </xf>
    <xf numFmtId="0" fontId="18" fillId="0" borderId="1" xfId="26" applyFont="1" applyBorder="1">
      <alignment/>
      <protection/>
    </xf>
    <xf numFmtId="0" fontId="18" fillId="0" borderId="1" xfId="24" applyFont="1" applyBorder="1" applyAlignment="1" applyProtection="1">
      <alignment vertical="center"/>
      <protection hidden="1"/>
    </xf>
    <xf numFmtId="0" fontId="29" fillId="0" borderId="0" xfId="28" applyFont="1">
      <alignment/>
      <protection/>
    </xf>
    <xf numFmtId="0" fontId="45" fillId="0" borderId="0" xfId="28" applyFont="1">
      <alignment/>
      <protection/>
    </xf>
    <xf numFmtId="3" fontId="30" fillId="0" borderId="0" xfId="28" applyNumberFormat="1" applyFont="1">
      <alignment/>
      <protection/>
    </xf>
    <xf numFmtId="0" fontId="30" fillId="0" borderId="0" xfId="28" applyFont="1">
      <alignment/>
      <protection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 quotePrefix="1">
      <alignment wrapText="1"/>
    </xf>
    <xf numFmtId="3" fontId="6" fillId="0" borderId="0" xfId="0" applyNumberFormat="1" applyFont="1" applyAlignment="1">
      <alignment horizontal="centerContinuous"/>
    </xf>
    <xf numFmtId="0" fontId="5" fillId="0" borderId="1" xfId="0" applyFont="1" applyBorder="1" applyAlignment="1">
      <alignment horizontal="centerContinuous" vertical="center"/>
    </xf>
    <xf numFmtId="3" fontId="5" fillId="0" borderId="1" xfId="0" applyNumberFormat="1" applyFont="1" applyBorder="1" applyAlignment="1">
      <alignment horizontal="centerContinuous" vertical="center"/>
    </xf>
    <xf numFmtId="3" fontId="18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/>
    </xf>
    <xf numFmtId="3" fontId="18" fillId="0" borderId="1" xfId="0" applyNumberFormat="1" applyFont="1" applyBorder="1" applyAlignment="1" quotePrefix="1">
      <alignment/>
    </xf>
    <xf numFmtId="3" fontId="18" fillId="0" borderId="2" xfId="0" applyNumberFormat="1" applyFont="1" applyBorder="1" applyAlignment="1">
      <alignment/>
    </xf>
    <xf numFmtId="0" fontId="18" fillId="0" borderId="2" xfId="0" applyFont="1" applyBorder="1" applyAlignment="1" quotePrefix="1">
      <alignment/>
    </xf>
    <xf numFmtId="3" fontId="18" fillId="0" borderId="2" xfId="0" applyNumberFormat="1" applyFont="1" applyBorder="1" applyAlignment="1" quotePrefix="1">
      <alignment/>
    </xf>
    <xf numFmtId="0" fontId="18" fillId="0" borderId="13" xfId="0" applyFont="1" applyBorder="1" applyAlignment="1">
      <alignment/>
    </xf>
    <xf numFmtId="3" fontId="18" fillId="0" borderId="3" xfId="0" applyNumberFormat="1" applyFont="1" applyBorder="1" applyAlignment="1">
      <alignment/>
    </xf>
    <xf numFmtId="0" fontId="18" fillId="0" borderId="14" xfId="0" applyFont="1" applyBorder="1" applyAlignment="1">
      <alignment/>
    </xf>
    <xf numFmtId="3" fontId="18" fillId="0" borderId="5" xfId="0" applyNumberFormat="1" applyFont="1" applyBorder="1" applyAlignment="1">
      <alignment horizontal="center"/>
    </xf>
    <xf numFmtId="3" fontId="18" fillId="0" borderId="5" xfId="0" applyNumberFormat="1" applyFont="1" applyBorder="1" applyAlignment="1">
      <alignment horizontal="right"/>
    </xf>
    <xf numFmtId="0" fontId="31" fillId="0" borderId="1" xfId="0" applyFont="1" applyBorder="1" applyAlignment="1">
      <alignment/>
    </xf>
    <xf numFmtId="0" fontId="20" fillId="0" borderId="8" xfId="0" applyFont="1" applyBorder="1" applyAlignment="1">
      <alignment/>
    </xf>
    <xf numFmtId="3" fontId="16" fillId="0" borderId="1" xfId="0" applyNumberFormat="1" applyFont="1" applyBorder="1" applyAlignment="1">
      <alignment/>
    </xf>
    <xf numFmtId="0" fontId="20" fillId="0" borderId="2" xfId="0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20" fillId="0" borderId="5" xfId="0" applyFont="1" applyBorder="1" applyAlignment="1">
      <alignment/>
    </xf>
    <xf numFmtId="3" fontId="16" fillId="0" borderId="3" xfId="0" applyNumberFormat="1" applyFont="1" applyBorder="1" applyAlignment="1">
      <alignment/>
    </xf>
    <xf numFmtId="0" fontId="20" fillId="0" borderId="3" xfId="0" applyFont="1" applyBorder="1" applyAlignment="1">
      <alignment/>
    </xf>
    <xf numFmtId="3" fontId="20" fillId="0" borderId="2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18" fillId="0" borderId="7" xfId="0" applyFont="1" applyBorder="1" applyAlignment="1">
      <alignment/>
    </xf>
    <xf numFmtId="3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3" fontId="6" fillId="0" borderId="1" xfId="0" applyNumberFormat="1" applyFont="1" applyBorder="1" applyAlignment="1" quotePrefix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6" fillId="0" borderId="0" xfId="29" applyFont="1">
      <alignment/>
      <protection/>
    </xf>
    <xf numFmtId="0" fontId="6" fillId="0" borderId="0" xfId="29">
      <alignment/>
      <protection/>
    </xf>
    <xf numFmtId="0" fontId="47" fillId="0" borderId="0" xfId="29" applyFont="1" applyAlignment="1">
      <alignment horizontal="centerContinuous"/>
      <protection/>
    </xf>
    <xf numFmtId="0" fontId="6" fillId="0" borderId="0" xfId="29" applyAlignment="1">
      <alignment horizontal="centerContinuous"/>
      <protection/>
    </xf>
    <xf numFmtId="0" fontId="40" fillId="0" borderId="0" xfId="29" applyFont="1" applyAlignment="1">
      <alignment horizontal="center"/>
      <protection/>
    </xf>
    <xf numFmtId="0" fontId="46" fillId="0" borderId="0" xfId="29" applyFont="1" applyAlignment="1">
      <alignment horizontal="center"/>
      <protection/>
    </xf>
    <xf numFmtId="0" fontId="47" fillId="0" borderId="0" xfId="29" applyFont="1" applyAlignment="1">
      <alignment horizontal="left"/>
      <protection/>
    </xf>
    <xf numFmtId="0" fontId="46" fillId="0" borderId="0" xfId="29" applyFont="1" applyAlignment="1">
      <alignment horizontal="left"/>
      <protection/>
    </xf>
    <xf numFmtId="0" fontId="5" fillId="0" borderId="0" xfId="29" applyFont="1">
      <alignment/>
      <protection/>
    </xf>
    <xf numFmtId="0" fontId="23" fillId="0" borderId="0" xfId="29" applyFont="1" applyAlignment="1">
      <alignment horizontal="right"/>
      <protection/>
    </xf>
    <xf numFmtId="0" fontId="40" fillId="0" borderId="1" xfId="29" applyFont="1" applyBorder="1" applyAlignment="1">
      <alignment horizontal="center" vertical="top" wrapText="1"/>
      <protection/>
    </xf>
    <xf numFmtId="0" fontId="40" fillId="0" borderId="2" xfId="29" applyFont="1" applyBorder="1" applyAlignment="1">
      <alignment horizontal="center" vertical="top" wrapText="1"/>
      <protection/>
    </xf>
    <xf numFmtId="0" fontId="46" fillId="0" borderId="8" xfId="29" applyFont="1" applyBorder="1" applyAlignment="1">
      <alignment horizontal="center" vertical="top" wrapText="1"/>
      <protection/>
    </xf>
    <xf numFmtId="3" fontId="46" fillId="0" borderId="7" xfId="29" applyNumberFormat="1" applyFont="1" applyBorder="1" applyAlignment="1">
      <alignment horizontal="right" vertical="top" wrapText="1"/>
      <protection/>
    </xf>
    <xf numFmtId="0" fontId="5" fillId="0" borderId="1" xfId="29" applyFont="1" applyBorder="1">
      <alignment/>
      <protection/>
    </xf>
    <xf numFmtId="3" fontId="5" fillId="0" borderId="1" xfId="29" applyNumberFormat="1" applyFont="1" applyBorder="1">
      <alignment/>
      <protection/>
    </xf>
    <xf numFmtId="0" fontId="5" fillId="0" borderId="0" xfId="29" applyFont="1" applyBorder="1">
      <alignment/>
      <protection/>
    </xf>
    <xf numFmtId="3" fontId="5" fillId="0" borderId="0" xfId="29" applyNumberFormat="1" applyFont="1" applyBorder="1">
      <alignment/>
      <protection/>
    </xf>
    <xf numFmtId="3" fontId="7" fillId="0" borderId="0" xfId="29" applyNumberFormat="1" applyFont="1" applyBorder="1">
      <alignment/>
      <protection/>
    </xf>
    <xf numFmtId="0" fontId="7" fillId="0" borderId="0" xfId="29" applyFont="1">
      <alignment/>
      <protection/>
    </xf>
    <xf numFmtId="0" fontId="23" fillId="0" borderId="0" xfId="29" applyFont="1">
      <alignment/>
      <protection/>
    </xf>
    <xf numFmtId="0" fontId="46" fillId="0" borderId="13" xfId="29" applyFont="1" applyBorder="1" applyAlignment="1">
      <alignment horizontal="center" vertical="top" wrapText="1"/>
      <protection/>
    </xf>
    <xf numFmtId="3" fontId="46" fillId="0" borderId="14" xfId="29" applyNumberFormat="1" applyFont="1" applyBorder="1" applyAlignment="1">
      <alignment horizontal="right" vertical="top" wrapText="1"/>
      <protection/>
    </xf>
    <xf numFmtId="0" fontId="5" fillId="0" borderId="1" xfId="29" applyFont="1" applyBorder="1">
      <alignment/>
      <protection/>
    </xf>
    <xf numFmtId="3" fontId="5" fillId="0" borderId="1" xfId="29" applyNumberFormat="1" applyFont="1" applyBorder="1">
      <alignment/>
      <protection/>
    </xf>
    <xf numFmtId="0" fontId="5" fillId="0" borderId="0" xfId="29" applyFont="1">
      <alignment/>
      <protection/>
    </xf>
    <xf numFmtId="0" fontId="5" fillId="0" borderId="1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8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6" xfId="0" applyFont="1" applyBorder="1" applyAlignment="1">
      <alignment/>
    </xf>
    <xf numFmtId="3" fontId="6" fillId="0" borderId="6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3" fontId="35" fillId="0" borderId="0" xfId="0" applyNumberFormat="1" applyFont="1" applyAlignment="1">
      <alignment horizontal="right"/>
    </xf>
    <xf numFmtId="0" fontId="35" fillId="0" borderId="1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1" xfId="0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3" fontId="36" fillId="0" borderId="0" xfId="0" applyNumberFormat="1" applyFont="1" applyBorder="1" applyAlignment="1">
      <alignment/>
    </xf>
    <xf numFmtId="0" fontId="35" fillId="0" borderId="1" xfId="0" applyFont="1" applyBorder="1" applyAlignment="1" quotePrefix="1">
      <alignment/>
    </xf>
    <xf numFmtId="3" fontId="14" fillId="0" borderId="2" xfId="24" applyNumberFormat="1" applyFont="1" applyBorder="1" applyAlignment="1" applyProtection="1">
      <alignment horizontal="right" vertical="center"/>
      <protection hidden="1"/>
    </xf>
    <xf numFmtId="3" fontId="6" fillId="0" borderId="1" xfId="0" applyNumberFormat="1" applyFont="1" applyBorder="1" applyAlignment="1">
      <alignment horizontal="right" wrapText="1"/>
    </xf>
    <xf numFmtId="3" fontId="6" fillId="0" borderId="8" xfId="0" applyNumberFormat="1" applyFont="1" applyBorder="1" applyAlignment="1">
      <alignment horizontal="right" wrapText="1"/>
    </xf>
    <xf numFmtId="3" fontId="6" fillId="0" borderId="5" xfId="24" applyNumberFormat="1" applyFont="1" applyBorder="1" applyAlignment="1" applyProtection="1">
      <alignment horizontal="right" vertical="center" wrapText="1"/>
      <protection hidden="1"/>
    </xf>
    <xf numFmtId="3" fontId="6" fillId="0" borderId="8" xfId="24" applyNumberFormat="1" applyFont="1" applyBorder="1" applyAlignment="1" applyProtection="1">
      <alignment horizontal="right" vertical="center" wrapText="1"/>
      <protection hidden="1"/>
    </xf>
    <xf numFmtId="3" fontId="6" fillId="0" borderId="1" xfId="24" applyNumberFormat="1" applyFont="1" applyBorder="1" applyAlignment="1" applyProtection="1">
      <alignment horizontal="right" vertical="center" wrapText="1"/>
      <protection hidden="1"/>
    </xf>
    <xf numFmtId="3" fontId="6" fillId="0" borderId="12" xfId="24" applyNumberFormat="1" applyFont="1" applyBorder="1" applyAlignment="1" applyProtection="1" quotePrefix="1">
      <alignment vertical="center"/>
      <protection hidden="1"/>
    </xf>
    <xf numFmtId="3" fontId="6" fillId="0" borderId="3" xfId="24" applyNumberFormat="1" applyFont="1" applyBorder="1" applyAlignment="1" applyProtection="1">
      <alignment vertical="center"/>
      <protection hidden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182" fontId="6" fillId="0" borderId="1" xfId="24" applyNumberFormat="1" applyFont="1" applyBorder="1" applyAlignment="1" applyProtection="1">
      <alignment vertical="center"/>
      <protection hidden="1"/>
    </xf>
    <xf numFmtId="3" fontId="6" fillId="0" borderId="1" xfId="24" applyNumberFormat="1" applyFont="1" applyBorder="1" applyAlignment="1" applyProtection="1">
      <alignment vertical="center"/>
      <protection locked="0"/>
    </xf>
    <xf numFmtId="3" fontId="7" fillId="0" borderId="5" xfId="24" applyNumberFormat="1" applyFont="1" applyBorder="1" applyAlignment="1" applyProtection="1">
      <alignment vertical="center"/>
      <protection locked="0"/>
    </xf>
    <xf numFmtId="3" fontId="7" fillId="0" borderId="1" xfId="24" applyNumberFormat="1" applyFont="1" applyBorder="1" applyAlignment="1" applyProtection="1">
      <alignment vertical="center"/>
      <protection locked="0"/>
    </xf>
    <xf numFmtId="3" fontId="8" fillId="0" borderId="1" xfId="24" applyNumberFormat="1" applyFont="1" applyBorder="1" applyAlignment="1" applyProtection="1">
      <alignment vertical="center"/>
      <protection locked="0"/>
    </xf>
    <xf numFmtId="3" fontId="14" fillId="0" borderId="1" xfId="24" applyNumberFormat="1" applyFont="1" applyBorder="1" applyAlignment="1" applyProtection="1">
      <alignment vertical="center"/>
      <protection hidden="1"/>
    </xf>
    <xf numFmtId="3" fontId="6" fillId="0" borderId="1" xfId="24" applyNumberFormat="1" applyFont="1" applyBorder="1" applyAlignment="1" applyProtection="1">
      <alignment vertical="center"/>
      <protection hidden="1"/>
    </xf>
    <xf numFmtId="3" fontId="6" fillId="0" borderId="1" xfId="24" applyNumberFormat="1" applyFont="1" applyBorder="1" applyAlignment="1" applyProtection="1" quotePrefix="1">
      <alignment/>
      <protection hidden="1"/>
    </xf>
    <xf numFmtId="3" fontId="6" fillId="0" borderId="5" xfId="0" applyNumberFormat="1" applyFont="1" applyBorder="1" applyAlignment="1">
      <alignment wrapText="1"/>
    </xf>
    <xf numFmtId="3" fontId="6" fillId="0" borderId="8" xfId="0" applyNumberFormat="1" applyFont="1" applyBorder="1" applyAlignment="1">
      <alignment wrapText="1"/>
    </xf>
    <xf numFmtId="3" fontId="6" fillId="0" borderId="8" xfId="0" applyNumberFormat="1" applyFont="1" applyBorder="1" applyAlignment="1">
      <alignment vertical="center" wrapText="1"/>
    </xf>
    <xf numFmtId="3" fontId="6" fillId="0" borderId="5" xfId="24" applyNumberFormat="1" applyFont="1" applyBorder="1" applyAlignment="1" applyProtection="1" quotePrefix="1">
      <alignment vertical="center"/>
      <protection hidden="1"/>
    </xf>
    <xf numFmtId="3" fontId="6" fillId="0" borderId="1" xfId="24" applyNumberFormat="1" applyFont="1" applyBorder="1" applyAlignment="1" applyProtection="1">
      <alignment vertical="center"/>
      <protection locked="0"/>
    </xf>
    <xf numFmtId="0" fontId="6" fillId="0" borderId="5" xfId="0" applyFont="1" applyBorder="1" applyAlignment="1">
      <alignment wrapText="1"/>
    </xf>
    <xf numFmtId="3" fontId="6" fillId="0" borderId="5" xfId="0" applyNumberFormat="1" applyFont="1" applyBorder="1" applyAlignment="1">
      <alignment wrapText="1"/>
    </xf>
    <xf numFmtId="10" fontId="6" fillId="0" borderId="11" xfId="25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wrapText="1"/>
    </xf>
    <xf numFmtId="3" fontId="6" fillId="0" borderId="8" xfId="0" applyNumberFormat="1" applyFont="1" applyBorder="1" applyAlignment="1">
      <alignment wrapText="1"/>
    </xf>
    <xf numFmtId="10" fontId="6" fillId="0" borderId="8" xfId="25" applyNumberFormat="1" applyFont="1" applyBorder="1" applyAlignment="1" applyProtection="1">
      <alignment horizontal="right" vertical="center"/>
      <protection locked="0"/>
    </xf>
    <xf numFmtId="10" fontId="6" fillId="0" borderId="7" xfId="25" applyNumberFormat="1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 wrapText="1"/>
    </xf>
    <xf numFmtId="0" fontId="8" fillId="0" borderId="2" xfId="24" applyFont="1" applyBorder="1" applyAlignment="1" applyProtection="1">
      <alignment vertical="center"/>
      <protection hidden="1"/>
    </xf>
    <xf numFmtId="3" fontId="8" fillId="0" borderId="2" xfId="24" applyNumberFormat="1" applyFont="1" applyBorder="1" applyAlignment="1" applyProtection="1">
      <alignment horizontal="right" vertical="center"/>
      <protection hidden="1"/>
    </xf>
    <xf numFmtId="0" fontId="6" fillId="0" borderId="1" xfId="0" applyFont="1" applyBorder="1" applyAlignment="1">
      <alignment horizontal="left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wrapText="1"/>
    </xf>
    <xf numFmtId="3" fontId="6" fillId="0" borderId="5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left" wrapText="1"/>
    </xf>
    <xf numFmtId="3" fontId="6" fillId="0" borderId="8" xfId="0" applyNumberFormat="1" applyFont="1" applyBorder="1" applyAlignment="1">
      <alignment horizontal="right" vertical="center" wrapText="1"/>
    </xf>
    <xf numFmtId="0" fontId="6" fillId="0" borderId="5" xfId="24" applyFont="1" applyBorder="1" applyAlignment="1" applyProtection="1">
      <alignment vertical="center" wrapText="1"/>
      <protection hidden="1"/>
    </xf>
    <xf numFmtId="3" fontId="6" fillId="0" borderId="5" xfId="24" applyNumberFormat="1" applyFont="1" applyBorder="1" applyAlignment="1" applyProtection="1">
      <alignment horizontal="right" vertical="center" wrapText="1"/>
      <protection hidden="1"/>
    </xf>
    <xf numFmtId="0" fontId="6" fillId="0" borderId="1" xfId="24" applyFont="1" applyBorder="1" applyAlignment="1" applyProtection="1">
      <alignment vertical="center" wrapText="1"/>
      <protection hidden="1"/>
    </xf>
    <xf numFmtId="3" fontId="6" fillId="0" borderId="8" xfId="24" applyNumberFormat="1" applyFont="1" applyBorder="1" applyAlignment="1" applyProtection="1">
      <alignment horizontal="right" vertical="center" wrapText="1"/>
      <protection hidden="1"/>
    </xf>
    <xf numFmtId="3" fontId="6" fillId="0" borderId="1" xfId="24" applyNumberFormat="1" applyFont="1" applyBorder="1" applyAlignment="1" applyProtection="1">
      <alignment horizontal="right" vertical="center" wrapText="1"/>
      <protection hidden="1"/>
    </xf>
    <xf numFmtId="0" fontId="6" fillId="0" borderId="1" xfId="24" applyFont="1" applyBorder="1" applyAlignment="1" applyProtection="1" quotePrefix="1">
      <alignment horizontal="left" vertical="center" indent="2"/>
      <protection hidden="1"/>
    </xf>
    <xf numFmtId="3" fontId="7" fillId="0" borderId="1" xfId="25" applyNumberFormat="1" applyFont="1" applyBorder="1" applyAlignment="1">
      <alignment horizontal="center" vertical="center" wrapText="1"/>
      <protection/>
    </xf>
    <xf numFmtId="0" fontId="7" fillId="0" borderId="1" xfId="24" applyFont="1" applyBorder="1" applyAlignment="1">
      <alignment horizontal="center"/>
      <protection/>
    </xf>
    <xf numFmtId="3" fontId="7" fillId="0" borderId="8" xfId="24" applyNumberFormat="1" applyFont="1" applyBorder="1" applyAlignment="1" applyProtection="1">
      <alignment horizontal="right" vertical="center"/>
      <protection locked="0"/>
    </xf>
    <xf numFmtId="0" fontId="6" fillId="0" borderId="8" xfId="24" applyFont="1" applyBorder="1" applyAlignment="1" applyProtection="1">
      <alignment vertical="center" wrapText="1"/>
      <protection hidden="1"/>
    </xf>
    <xf numFmtId="3" fontId="7" fillId="0" borderId="1" xfId="24" applyNumberFormat="1" applyFont="1" applyBorder="1" applyAlignment="1" applyProtection="1">
      <alignment/>
      <protection hidden="1"/>
    </xf>
    <xf numFmtId="10" fontId="8" fillId="0" borderId="1" xfId="25" applyNumberFormat="1" applyFont="1" applyBorder="1" applyAlignment="1" applyProtection="1">
      <alignment horizontal="right"/>
      <protection locked="0"/>
    </xf>
    <xf numFmtId="0" fontId="6" fillId="0" borderId="1" xfId="24" applyFont="1" applyBorder="1" applyAlignment="1" applyProtection="1">
      <alignment horizontal="left" vertical="center" wrapText="1" indent="2"/>
      <protection hidden="1"/>
    </xf>
    <xf numFmtId="0" fontId="6" fillId="0" borderId="1" xfId="24" applyFont="1" applyBorder="1" applyAlignment="1" applyProtection="1">
      <alignment horizontal="left" vertical="center" indent="2"/>
      <protection hidden="1"/>
    </xf>
    <xf numFmtId="3" fontId="6" fillId="0" borderId="0" xfId="26" applyNumberFormat="1" applyFont="1" applyAlignment="1">
      <alignment horizontal="right" vertical="center" wrapText="1"/>
      <protection/>
    </xf>
    <xf numFmtId="3" fontId="6" fillId="0" borderId="0" xfId="26" applyNumberFormat="1" applyFont="1" applyAlignment="1">
      <alignment horizontal="right"/>
      <protection/>
    </xf>
    <xf numFmtId="3" fontId="16" fillId="0" borderId="3" xfId="26" applyNumberFormat="1" applyFont="1" applyFill="1" applyBorder="1" applyAlignment="1">
      <alignment horizontal="right"/>
      <protection/>
    </xf>
    <xf numFmtId="3" fontId="19" fillId="0" borderId="3" xfId="26" applyNumberFormat="1" applyFont="1" applyFill="1" applyBorder="1" applyAlignment="1">
      <alignment horizontal="right"/>
      <protection/>
    </xf>
    <xf numFmtId="3" fontId="19" fillId="0" borderId="11" xfId="26" applyNumberFormat="1" applyFont="1" applyFill="1" applyBorder="1" applyAlignment="1" applyProtection="1">
      <alignment horizontal="right"/>
      <protection locked="0"/>
    </xf>
    <xf numFmtId="3" fontId="18" fillId="0" borderId="3" xfId="26" applyNumberFormat="1" applyFont="1" applyFill="1" applyBorder="1" applyAlignment="1" applyProtection="1">
      <alignment horizontal="right"/>
      <protection locked="0"/>
    </xf>
    <xf numFmtId="3" fontId="19" fillId="0" borderId="10" xfId="26" applyNumberFormat="1" applyFont="1" applyFill="1" applyBorder="1" applyAlignment="1" quotePrefix="1">
      <alignment horizontal="right"/>
      <protection/>
    </xf>
    <xf numFmtId="3" fontId="19" fillId="0" borderId="3" xfId="26" applyNumberFormat="1" applyFont="1" applyFill="1" applyBorder="1" applyAlignment="1" applyProtection="1">
      <alignment horizontal="right"/>
      <protection locked="0"/>
    </xf>
    <xf numFmtId="3" fontId="18" fillId="0" borderId="3" xfId="26" applyNumberFormat="1" applyFont="1" applyFill="1" applyBorder="1" applyAlignment="1">
      <alignment horizontal="right"/>
      <protection/>
    </xf>
    <xf numFmtId="3" fontId="19" fillId="0" borderId="2" xfId="26" applyNumberFormat="1" applyFont="1" applyFill="1" applyBorder="1" applyAlignment="1" applyProtection="1">
      <alignment horizontal="right"/>
      <protection locked="0"/>
    </xf>
    <xf numFmtId="3" fontId="16" fillId="0" borderId="3" xfId="26" applyNumberFormat="1" applyFont="1" applyFill="1" applyBorder="1" applyAlignment="1" applyProtection="1">
      <alignment horizontal="right"/>
      <protection locked="0"/>
    </xf>
    <xf numFmtId="3" fontId="16" fillId="0" borderId="3" xfId="26" applyNumberFormat="1" applyFont="1" applyBorder="1" applyAlignment="1">
      <alignment horizontal="right"/>
      <protection/>
    </xf>
    <xf numFmtId="3" fontId="18" fillId="0" borderId="1" xfId="26" applyNumberFormat="1" applyFont="1" applyBorder="1" applyAlignment="1" applyProtection="1">
      <alignment horizontal="right"/>
      <protection locked="0"/>
    </xf>
    <xf numFmtId="3" fontId="18" fillId="0" borderId="1" xfId="26" applyNumberFormat="1" applyFont="1" applyBorder="1" applyAlignment="1" quotePrefix="1">
      <alignment horizontal="right"/>
      <protection/>
    </xf>
    <xf numFmtId="3" fontId="18" fillId="0" borderId="3" xfId="26" applyNumberFormat="1" applyFont="1" applyBorder="1" applyAlignment="1">
      <alignment horizontal="right"/>
      <protection/>
    </xf>
    <xf numFmtId="3" fontId="18" fillId="0" borderId="1" xfId="26" applyNumberFormat="1" applyFont="1" applyBorder="1" applyAlignment="1">
      <alignment horizontal="right" vertical="center" wrapText="1"/>
      <protection/>
    </xf>
    <xf numFmtId="3" fontId="19" fillId="0" borderId="1" xfId="26" applyNumberFormat="1" applyFont="1" applyFill="1" applyBorder="1" applyAlignment="1" quotePrefix="1">
      <alignment horizontal="right"/>
      <protection/>
    </xf>
    <xf numFmtId="3" fontId="19" fillId="0" borderId="4" xfId="26" applyNumberFormat="1" applyFont="1" applyFill="1" applyBorder="1" applyAlignment="1" quotePrefix="1">
      <alignment horizontal="right"/>
      <protection/>
    </xf>
    <xf numFmtId="3" fontId="18" fillId="0" borderId="3" xfId="26" applyNumberFormat="1" applyFont="1" applyBorder="1" applyAlignment="1">
      <alignment horizontal="right" vertical="center" wrapText="1"/>
      <protection/>
    </xf>
    <xf numFmtId="3" fontId="19" fillId="0" borderId="1" xfId="26" applyNumberFormat="1" applyFont="1" applyBorder="1" applyAlignment="1" quotePrefix="1">
      <alignment horizontal="right"/>
      <protection/>
    </xf>
    <xf numFmtId="3" fontId="19" fillId="0" borderId="1" xfId="26" applyNumberFormat="1" applyFont="1" applyBorder="1" applyAlignment="1">
      <alignment horizontal="right"/>
      <protection/>
    </xf>
    <xf numFmtId="3" fontId="18" fillId="0" borderId="13" xfId="26" applyNumberFormat="1" applyFont="1" applyBorder="1" applyAlignment="1" quotePrefix="1">
      <alignment horizontal="right"/>
      <protection/>
    </xf>
    <xf numFmtId="3" fontId="18" fillId="0" borderId="8" xfId="0" applyNumberFormat="1" applyFont="1" applyBorder="1" applyAlignment="1">
      <alignment horizontal="right" wrapText="1"/>
    </xf>
    <xf numFmtId="3" fontId="18" fillId="0" borderId="5" xfId="26" applyNumberFormat="1" applyFont="1" applyBorder="1" applyAlignment="1" quotePrefix="1">
      <alignment horizontal="right"/>
      <protection/>
    </xf>
    <xf numFmtId="3" fontId="18" fillId="0" borderId="2" xfId="0" applyNumberFormat="1" applyFont="1" applyBorder="1" applyAlignment="1" quotePrefix="1">
      <alignment horizontal="right" wrapText="1"/>
    </xf>
    <xf numFmtId="3" fontId="18" fillId="0" borderId="2" xfId="0" applyNumberFormat="1" applyFont="1" applyBorder="1" applyAlignment="1" quotePrefix="1">
      <alignment horizontal="right"/>
    </xf>
    <xf numFmtId="3" fontId="19" fillId="0" borderId="11" xfId="26" applyNumberFormat="1" applyFont="1" applyFill="1" applyBorder="1" applyAlignment="1" quotePrefix="1">
      <alignment horizontal="right"/>
      <protection/>
    </xf>
    <xf numFmtId="3" fontId="9" fillId="0" borderId="0" xfId="27" applyNumberFormat="1" applyAlignment="1">
      <alignment horizontal="right"/>
      <protection/>
    </xf>
    <xf numFmtId="0" fontId="7" fillId="0" borderId="1" xfId="0" applyFont="1" applyBorder="1" applyAlignment="1">
      <alignment horizontal="center" wrapText="1"/>
    </xf>
    <xf numFmtId="3" fontId="20" fillId="0" borderId="1" xfId="26" applyNumberFormat="1" applyFont="1" applyFill="1" applyBorder="1" applyAlignment="1">
      <alignment horizontal="right" vertical="top"/>
      <protection/>
    </xf>
    <xf numFmtId="3" fontId="20" fillId="0" borderId="3" xfId="26" applyNumberFormat="1" applyFont="1" applyFill="1" applyBorder="1" applyAlignment="1">
      <alignment horizontal="right" vertical="top"/>
      <protection/>
    </xf>
    <xf numFmtId="3" fontId="20" fillId="0" borderId="3" xfId="26" applyNumberFormat="1" applyFont="1" applyFill="1" applyBorder="1" applyProtection="1">
      <alignment/>
      <protection locked="0"/>
    </xf>
    <xf numFmtId="3" fontId="20" fillId="0" borderId="3" xfId="26" applyNumberFormat="1" applyFont="1" applyFill="1" applyBorder="1">
      <alignment/>
      <protection/>
    </xf>
    <xf numFmtId="3" fontId="20" fillId="0" borderId="3" xfId="26" applyNumberFormat="1" applyFont="1" applyBorder="1">
      <alignment/>
      <protection/>
    </xf>
    <xf numFmtId="3" fontId="20" fillId="0" borderId="1" xfId="26" applyNumberFormat="1" applyFont="1" applyBorder="1" applyProtection="1">
      <alignment/>
      <protection locked="0"/>
    </xf>
    <xf numFmtId="3" fontId="20" fillId="0" borderId="3" xfId="26" applyNumberFormat="1" applyFont="1" applyBorder="1" applyAlignment="1">
      <alignment vertical="center" wrapText="1"/>
      <protection/>
    </xf>
    <xf numFmtId="3" fontId="20" fillId="0" borderId="1" xfId="26" applyNumberFormat="1" applyFont="1" applyBorder="1" applyAlignment="1">
      <alignment vertical="center" wrapText="1"/>
      <protection/>
    </xf>
    <xf numFmtId="3" fontId="20" fillId="0" borderId="5" xfId="26" applyNumberFormat="1" applyFont="1" applyFill="1" applyBorder="1" applyAlignment="1">
      <alignment horizontal="right" vertical="top"/>
      <protection/>
    </xf>
    <xf numFmtId="3" fontId="20" fillId="0" borderId="3" xfId="26" applyNumberFormat="1" applyFont="1" applyBorder="1" applyProtection="1">
      <alignment/>
      <protection locked="0"/>
    </xf>
    <xf numFmtId="3" fontId="20" fillId="0" borderId="3" xfId="26" applyNumberFormat="1" applyFont="1" applyBorder="1" applyAlignment="1" applyProtection="1">
      <alignment horizontal="right" vertical="top"/>
      <protection locked="0"/>
    </xf>
    <xf numFmtId="3" fontId="20" fillId="0" borderId="9" xfId="26" applyNumberFormat="1" applyFont="1" applyFill="1" applyBorder="1" applyAlignment="1">
      <alignment horizontal="right" vertical="top"/>
      <protection/>
    </xf>
    <xf numFmtId="3" fontId="20" fillId="0" borderId="1" xfId="26" applyNumberFormat="1" applyFont="1" applyBorder="1" applyAlignment="1" applyProtection="1">
      <alignment horizontal="right" vertical="top"/>
      <protection locked="0"/>
    </xf>
    <xf numFmtId="3" fontId="20" fillId="0" borderId="8" xfId="26" applyNumberFormat="1" applyFont="1" applyFill="1" applyBorder="1" applyAlignment="1">
      <alignment horizontal="right" vertical="top"/>
      <protection/>
    </xf>
    <xf numFmtId="3" fontId="20" fillId="0" borderId="2" xfId="26" applyNumberFormat="1" applyFont="1" applyBorder="1" applyAlignment="1">
      <alignment horizontal="right"/>
      <protection/>
    </xf>
    <xf numFmtId="3" fontId="20" fillId="0" borderId="1" xfId="26" applyNumberFormat="1" applyFont="1" applyBorder="1" applyAlignment="1">
      <alignment horizontal="right"/>
      <protection/>
    </xf>
    <xf numFmtId="3" fontId="20" fillId="0" borderId="1" xfId="26" applyNumberFormat="1" applyFont="1" applyBorder="1">
      <alignment/>
      <protection/>
    </xf>
    <xf numFmtId="3" fontId="20" fillId="0" borderId="2" xfId="26" applyNumberFormat="1" applyFont="1" applyBorder="1">
      <alignment/>
      <protection/>
    </xf>
    <xf numFmtId="3" fontId="20" fillId="0" borderId="11" xfId="26" applyNumberFormat="1" applyFont="1" applyBorder="1">
      <alignment/>
      <protection/>
    </xf>
    <xf numFmtId="3" fontId="20" fillId="0" borderId="7" xfId="26" applyNumberFormat="1" applyFont="1" applyBorder="1">
      <alignment/>
      <protection/>
    </xf>
    <xf numFmtId="3" fontId="20" fillId="0" borderId="1" xfId="0" applyNumberFormat="1" applyFont="1" applyBorder="1" applyAlignment="1">
      <alignment horizontal="right" wrapText="1"/>
    </xf>
    <xf numFmtId="3" fontId="20" fillId="0" borderId="3" xfId="26" applyNumberFormat="1" applyFont="1" applyFill="1" applyBorder="1">
      <alignment/>
      <protection/>
    </xf>
    <xf numFmtId="3" fontId="8" fillId="0" borderId="1" xfId="24" applyNumberFormat="1" applyFont="1" applyBorder="1" applyAlignment="1" applyProtection="1">
      <alignment horizontal="right" vertical="center" wrapText="1"/>
      <protection hidden="1"/>
    </xf>
    <xf numFmtId="182" fontId="7" fillId="0" borderId="1" xfId="0" applyNumberFormat="1" applyFont="1" applyBorder="1" applyAlignment="1">
      <alignment horizontal="right" wrapText="1"/>
    </xf>
    <xf numFmtId="0" fontId="5" fillId="0" borderId="0" xfId="25" applyFont="1" applyAlignment="1">
      <alignment horizontal="centerContinuous"/>
      <protection/>
    </xf>
    <xf numFmtId="0" fontId="5" fillId="0" borderId="0" xfId="25" applyFont="1" applyAlignment="1">
      <alignment horizontal="centerContinuous"/>
      <protection/>
    </xf>
    <xf numFmtId="0" fontId="42" fillId="0" borderId="0" xfId="25" applyFont="1">
      <alignment/>
      <protection/>
    </xf>
    <xf numFmtId="10" fontId="7" fillId="0" borderId="0" xfId="24" applyNumberFormat="1" applyFont="1" applyAlignment="1" applyProtection="1">
      <alignment horizontal="centerContinuous" vertical="center" wrapText="1"/>
      <protection hidden="1"/>
    </xf>
    <xf numFmtId="10" fontId="7" fillId="0" borderId="0" xfId="24" applyNumberFormat="1" applyFont="1" applyAlignment="1" applyProtection="1">
      <alignment horizontal="centerContinuous" vertical="center" wrapText="1"/>
      <protection hidden="1"/>
    </xf>
    <xf numFmtId="0" fontId="5" fillId="0" borderId="0" xfId="24" applyFont="1" applyBorder="1" applyAlignment="1" applyProtection="1">
      <alignment horizontal="centerContinuous" vertical="center"/>
      <protection hidden="1"/>
    </xf>
    <xf numFmtId="10" fontId="6" fillId="0" borderId="0" xfId="24" applyNumberFormat="1" applyFont="1" applyProtection="1">
      <alignment/>
      <protection hidden="1"/>
    </xf>
    <xf numFmtId="10" fontId="7" fillId="0" borderId="0" xfId="24" applyNumberFormat="1" applyFont="1" applyAlignment="1" applyProtection="1">
      <alignment horizontal="right" vertical="center"/>
      <protection hidden="1"/>
    </xf>
    <xf numFmtId="0" fontId="7" fillId="0" borderId="5" xfId="24" applyFont="1" applyBorder="1" applyAlignment="1">
      <alignment horizontal="centerContinuous" wrapText="1"/>
      <protection/>
    </xf>
    <xf numFmtId="0" fontId="7" fillId="0" borderId="11" xfId="24" applyFont="1" applyBorder="1" applyAlignment="1">
      <alignment horizontal="centerContinuous"/>
      <protection/>
    </xf>
    <xf numFmtId="3" fontId="7" fillId="0" borderId="5" xfId="25" applyNumberFormat="1" applyFont="1" applyBorder="1" applyAlignment="1">
      <alignment horizontal="center" vertical="center" wrapText="1"/>
      <protection/>
    </xf>
    <xf numFmtId="10" fontId="7" fillId="0" borderId="5" xfId="24" applyNumberFormat="1" applyFont="1" applyBorder="1" applyAlignment="1" applyProtection="1">
      <alignment horizontal="center" vertical="center" wrapText="1"/>
      <protection hidden="1"/>
    </xf>
    <xf numFmtId="10" fontId="7" fillId="0" borderId="5" xfId="24" applyNumberFormat="1" applyFont="1" applyBorder="1" applyAlignment="1" applyProtection="1">
      <alignment horizontal="centerContinuous" wrapText="1"/>
      <protection hidden="1"/>
    </xf>
    <xf numFmtId="0" fontId="7" fillId="0" borderId="8" xfId="24" applyFont="1" applyBorder="1" applyAlignment="1">
      <alignment horizontal="centerContinuous" vertical="center"/>
      <protection/>
    </xf>
    <xf numFmtId="0" fontId="7" fillId="0" borderId="7" xfId="24" applyFont="1" applyBorder="1" applyAlignment="1">
      <alignment horizontal="centerContinuous" vertical="center"/>
      <protection/>
    </xf>
    <xf numFmtId="10" fontId="7" fillId="0" borderId="8" xfId="24" applyNumberFormat="1" applyFont="1" applyBorder="1" applyAlignment="1" applyProtection="1">
      <alignment horizontal="centerContinuous" vertical="center" wrapText="1"/>
      <protection hidden="1"/>
    </xf>
    <xf numFmtId="3" fontId="7" fillId="0" borderId="1" xfId="24" applyNumberFormat="1" applyFont="1" applyBorder="1" applyAlignment="1" applyProtection="1">
      <alignment horizontal="center" vertical="center" wrapText="1"/>
      <protection hidden="1"/>
    </xf>
    <xf numFmtId="3" fontId="6" fillId="0" borderId="1" xfId="25" applyNumberFormat="1" applyFont="1" applyBorder="1" applyAlignment="1" applyProtection="1">
      <alignment horizontal="right" vertical="center"/>
      <protection locked="0"/>
    </xf>
    <xf numFmtId="3" fontId="7" fillId="0" borderId="1" xfId="25" applyNumberFormat="1" applyFont="1" applyBorder="1" applyAlignment="1" applyProtection="1">
      <alignment horizontal="right" vertical="center"/>
      <protection locked="0"/>
    </xf>
    <xf numFmtId="0" fontId="18" fillId="0" borderId="2" xfId="26" applyFont="1" applyBorder="1" applyAlignment="1" quotePrefix="1">
      <alignment wrapText="1"/>
      <protection/>
    </xf>
    <xf numFmtId="3" fontId="8" fillId="0" borderId="1" xfId="25" applyNumberFormat="1" applyFont="1" applyBorder="1" applyAlignment="1" applyProtection="1">
      <alignment horizontal="right" vertical="center"/>
      <protection locked="0"/>
    </xf>
    <xf numFmtId="0" fontId="6" fillId="0" borderId="0" xfId="24" applyFont="1" applyProtection="1">
      <alignment/>
      <protection hidden="1"/>
    </xf>
    <xf numFmtId="3" fontId="14" fillId="0" borderId="1" xfId="25" applyNumberFormat="1" applyFont="1" applyBorder="1" applyAlignment="1" applyProtection="1">
      <alignment horizontal="right" vertical="center"/>
      <protection locked="0"/>
    </xf>
    <xf numFmtId="0" fontId="14" fillId="0" borderId="0" xfId="24" applyFont="1" applyAlignment="1" applyProtection="1">
      <alignment vertical="center"/>
      <protection hidden="1"/>
    </xf>
    <xf numFmtId="3" fontId="7" fillId="0" borderId="0" xfId="24" applyNumberFormat="1" applyFont="1" applyBorder="1" applyAlignment="1" applyProtection="1">
      <alignment horizontal="right" vertical="center"/>
      <protection hidden="1"/>
    </xf>
    <xf numFmtId="10" fontId="8" fillId="0" borderId="0" xfId="25" applyNumberFormat="1" applyFont="1" applyBorder="1" applyAlignment="1" applyProtection="1">
      <alignment horizontal="right" vertical="center"/>
      <protection locked="0"/>
    </xf>
    <xf numFmtId="10" fontId="7" fillId="0" borderId="0" xfId="25" applyNumberFormat="1" applyFont="1" applyBorder="1" applyAlignment="1" applyProtection="1">
      <alignment horizontal="right" vertical="center"/>
      <protection locked="0"/>
    </xf>
    <xf numFmtId="0" fontId="6" fillId="0" borderId="0" xfId="24" applyFont="1" applyBorder="1" applyAlignment="1" applyProtection="1" quotePrefix="1">
      <alignment vertical="center"/>
      <protection hidden="1"/>
    </xf>
    <xf numFmtId="3" fontId="6" fillId="0" borderId="0" xfId="24" applyNumberFormat="1" applyFont="1" applyBorder="1" applyAlignment="1" applyProtection="1">
      <alignment horizontal="right" vertical="center"/>
      <protection hidden="1"/>
    </xf>
    <xf numFmtId="10" fontId="6" fillId="0" borderId="0" xfId="25" applyNumberFormat="1" applyFont="1" applyBorder="1" applyAlignment="1" applyProtection="1">
      <alignment horizontal="right" vertical="center"/>
      <protection locked="0"/>
    </xf>
    <xf numFmtId="3" fontId="8" fillId="0" borderId="0" xfId="24" applyNumberFormat="1" applyFont="1" applyBorder="1" applyAlignment="1" applyProtection="1">
      <alignment horizontal="right" vertical="center"/>
      <protection hidden="1"/>
    </xf>
    <xf numFmtId="10" fontId="14" fillId="0" borderId="0" xfId="25" applyNumberFormat="1" applyFont="1" applyBorder="1" applyAlignment="1" applyProtection="1">
      <alignment horizontal="right" vertical="center"/>
      <protection locked="0"/>
    </xf>
    <xf numFmtId="0" fontId="6" fillId="0" borderId="0" xfId="24" applyFont="1" applyBorder="1" applyAlignment="1" applyProtection="1">
      <alignment/>
      <protection hidden="1"/>
    </xf>
    <xf numFmtId="3" fontId="7" fillId="0" borderId="0" xfId="24" applyNumberFormat="1" applyFont="1" applyBorder="1" applyProtection="1">
      <alignment/>
      <protection hidden="1"/>
    </xf>
    <xf numFmtId="10" fontId="6" fillId="0" borderId="0" xfId="24" applyNumberFormat="1" applyFont="1" applyBorder="1" applyProtection="1">
      <alignment/>
      <protection hidden="1"/>
    </xf>
    <xf numFmtId="10" fontId="7" fillId="0" borderId="0" xfId="24" applyNumberFormat="1" applyFont="1" applyBorder="1" applyProtection="1">
      <alignment/>
      <protection hidden="1"/>
    </xf>
    <xf numFmtId="3" fontId="7" fillId="0" borderId="0" xfId="24" applyNumberFormat="1" applyFont="1" applyProtection="1">
      <alignment/>
      <protection hidden="1"/>
    </xf>
    <xf numFmtId="10" fontId="7" fillId="0" borderId="0" xfId="24" applyNumberFormat="1" applyFont="1" applyProtection="1">
      <alignment/>
      <protection hidden="1"/>
    </xf>
    <xf numFmtId="0" fontId="14" fillId="0" borderId="0" xfId="24" applyFont="1" applyBorder="1" applyAlignment="1" applyProtection="1">
      <alignment horizontal="centerContinuous" vertical="center" wrapText="1"/>
      <protection hidden="1"/>
    </xf>
    <xf numFmtId="0" fontId="5" fillId="0" borderId="0" xfId="24" applyFont="1" applyBorder="1" applyAlignment="1" applyProtection="1">
      <alignment horizontal="centerContinuous" vertical="center" wrapText="1"/>
      <protection hidden="1"/>
    </xf>
    <xf numFmtId="3" fontId="41" fillId="0" borderId="7" xfId="28" applyNumberFormat="1" applyFont="1" applyFill="1" applyBorder="1">
      <alignment/>
      <protection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8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5" xfId="20" applyNumberFormat="1" applyFont="1" applyBorder="1" applyAlignment="1">
      <alignment horizontal="center" vertical="center" wrapText="1"/>
      <protection/>
    </xf>
    <xf numFmtId="3" fontId="6" fillId="0" borderId="1" xfId="20" applyNumberFormat="1" applyFont="1" applyBorder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7" fillId="0" borderId="1" xfId="20" applyFont="1" applyBorder="1" applyAlignment="1">
      <alignment horizontal="left" vertical="center"/>
      <protection/>
    </xf>
    <xf numFmtId="3" fontId="7" fillId="0" borderId="1" xfId="20" applyNumberFormat="1" applyFont="1" applyBorder="1" applyAlignment="1">
      <alignment horizontal="right" vertical="center" wrapText="1"/>
      <protection/>
    </xf>
    <xf numFmtId="0" fontId="7" fillId="0" borderId="3" xfId="20" applyFont="1" applyBorder="1" applyAlignment="1">
      <alignment horizontal="left" vertical="center"/>
      <protection/>
    </xf>
    <xf numFmtId="0" fontId="7" fillId="0" borderId="2" xfId="20" applyFont="1" applyBorder="1" applyAlignment="1">
      <alignment horizontal="left" vertical="center"/>
      <protection/>
    </xf>
    <xf numFmtId="0" fontId="6" fillId="0" borderId="2" xfId="0" applyFont="1" applyBorder="1" applyAlignment="1">
      <alignment vertical="center" wrapText="1"/>
    </xf>
    <xf numFmtId="0" fontId="6" fillId="0" borderId="10" xfId="0" applyFont="1" applyBorder="1" applyAlignment="1" applyProtection="1" quotePrefix="1">
      <alignment vertical="center"/>
      <protection hidden="1"/>
    </xf>
    <xf numFmtId="0" fontId="6" fillId="0" borderId="0" xfId="0" applyFont="1" applyBorder="1" applyAlignment="1" applyProtection="1" quotePrefix="1">
      <alignment vertical="center"/>
      <protection hidden="1"/>
    </xf>
    <xf numFmtId="0" fontId="6" fillId="0" borderId="2" xfId="0" applyFont="1" applyBorder="1" applyAlignment="1" applyProtection="1" quotePrefix="1">
      <alignment vertical="center"/>
      <protection hidden="1"/>
    </xf>
    <xf numFmtId="0" fontId="35" fillId="0" borderId="0" xfId="22" applyFont="1">
      <alignment/>
      <protection/>
    </xf>
    <xf numFmtId="0" fontId="35" fillId="0" borderId="0" xfId="22" applyFont="1" applyBorder="1">
      <alignment/>
      <protection/>
    </xf>
    <xf numFmtId="3" fontId="35" fillId="0" borderId="0" xfId="22" applyNumberFormat="1" applyFont="1">
      <alignment/>
      <protection/>
    </xf>
    <xf numFmtId="0" fontId="50" fillId="0" borderId="0" xfId="22">
      <alignment/>
      <protection/>
    </xf>
    <xf numFmtId="3" fontId="21" fillId="0" borderId="2" xfId="26" applyNumberFormat="1" applyFont="1" applyBorder="1">
      <alignment/>
      <protection/>
    </xf>
    <xf numFmtId="3" fontId="18" fillId="0" borderId="8" xfId="26" applyNumberFormat="1" applyFont="1" applyBorder="1" applyAlignment="1">
      <alignment horizontal="right" vertical="top"/>
      <protection/>
    </xf>
    <xf numFmtId="3" fontId="18" fillId="0" borderId="8" xfId="26" applyNumberFormat="1" applyFont="1" applyBorder="1" applyAlignment="1" applyProtection="1">
      <alignment horizontal="right" vertical="top"/>
      <protection locked="0"/>
    </xf>
    <xf numFmtId="3" fontId="18" fillId="0" borderId="9" xfId="26" applyNumberFormat="1" applyFont="1" applyBorder="1" applyAlignment="1" applyProtection="1">
      <alignment horizontal="right" vertical="top"/>
      <protection locked="0"/>
    </xf>
    <xf numFmtId="0" fontId="18" fillId="0" borderId="4" xfId="27" applyFont="1" applyBorder="1" quotePrefix="1">
      <alignment/>
      <protection/>
    </xf>
    <xf numFmtId="3" fontId="20" fillId="0" borderId="1" xfId="26" applyNumberFormat="1" applyFont="1" applyBorder="1">
      <alignment/>
      <protection/>
    </xf>
    <xf numFmtId="3" fontId="17" fillId="0" borderId="5" xfId="26" applyNumberFormat="1" applyFont="1" applyFill="1" applyBorder="1" applyAlignment="1">
      <alignment horizontal="right" vertical="top"/>
      <protection/>
    </xf>
    <xf numFmtId="3" fontId="17" fillId="0" borderId="12" xfId="26" applyNumberFormat="1" applyFont="1" applyFill="1" applyBorder="1" applyAlignment="1">
      <alignment horizontal="right" vertical="top"/>
      <protection/>
    </xf>
    <xf numFmtId="3" fontId="21" fillId="0" borderId="2" xfId="26" applyNumberFormat="1" applyFont="1" applyFill="1" applyBorder="1" applyAlignment="1">
      <alignment horizontal="right" vertical="top"/>
      <protection/>
    </xf>
    <xf numFmtId="3" fontId="7" fillId="0" borderId="0" xfId="0" applyNumberFormat="1" applyFont="1" applyAlignment="1">
      <alignment horizontal="centerContinuous" wrapText="1"/>
    </xf>
    <xf numFmtId="3" fontId="6" fillId="0" borderId="0" xfId="0" applyNumberFormat="1" applyFont="1" applyAlignment="1">
      <alignment wrapText="1"/>
    </xf>
    <xf numFmtId="3" fontId="6" fillId="0" borderId="1" xfId="0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vertical="center" wrapText="1"/>
    </xf>
    <xf numFmtId="3" fontId="6" fillId="0" borderId="1" xfId="24" applyNumberFormat="1" applyFont="1" applyBorder="1" applyAlignment="1">
      <alignment horizontal="center" vertical="center" wrapText="1"/>
      <protection/>
    </xf>
    <xf numFmtId="3" fontId="18" fillId="0" borderId="1" xfId="26" applyNumberFormat="1" applyFont="1" applyFill="1" applyBorder="1">
      <alignment/>
      <protection/>
    </xf>
    <xf numFmtId="3" fontId="20" fillId="0" borderId="1" xfId="26" applyNumberFormat="1" applyFont="1" applyFill="1" applyBorder="1">
      <alignment/>
      <protection/>
    </xf>
    <xf numFmtId="3" fontId="20" fillId="0" borderId="2" xfId="26" applyNumberFormat="1" applyFont="1" applyBorder="1">
      <alignment/>
      <protection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8" fillId="0" borderId="8" xfId="0" applyFont="1" applyBorder="1" applyAlignment="1">
      <alignment horizontal="right"/>
    </xf>
    <xf numFmtId="0" fontId="8" fillId="0" borderId="8" xfId="0" applyFont="1" applyBorder="1" applyAlignment="1">
      <alignment wrapText="1"/>
    </xf>
    <xf numFmtId="3" fontId="8" fillId="0" borderId="8" xfId="0" applyNumberFormat="1" applyFont="1" applyBorder="1" applyAlignment="1">
      <alignment wrapText="1"/>
    </xf>
    <xf numFmtId="3" fontId="20" fillId="0" borderId="1" xfId="0" applyNumberFormat="1" applyFont="1" applyBorder="1" applyAlignment="1">
      <alignment horizontal="right" wrapText="1"/>
    </xf>
    <xf numFmtId="3" fontId="20" fillId="0" borderId="1" xfId="26" applyNumberFormat="1" applyFont="1" applyBorder="1" applyAlignment="1">
      <alignment horizontal="right"/>
      <protection/>
    </xf>
    <xf numFmtId="3" fontId="7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wrapText="1"/>
    </xf>
    <xf numFmtId="3" fontId="7" fillId="0" borderId="5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5" xfId="0" applyNumberFormat="1" applyFont="1" applyBorder="1" applyAlignment="1">
      <alignment wrapText="1"/>
    </xf>
    <xf numFmtId="3" fontId="35" fillId="0" borderId="0" xfId="0" applyNumberFormat="1" applyFont="1" applyAlignment="1">
      <alignment vertical="center"/>
    </xf>
    <xf numFmtId="3" fontId="36" fillId="0" borderId="1" xfId="0" applyNumberFormat="1" applyFont="1" applyBorder="1" applyAlignment="1">
      <alignment vertical="center"/>
    </xf>
    <xf numFmtId="0" fontId="6" fillId="0" borderId="4" xfId="0" applyFont="1" applyBorder="1" applyAlignment="1" quotePrefix="1">
      <alignment vertical="center"/>
    </xf>
    <xf numFmtId="3" fontId="6" fillId="0" borderId="1" xfId="0" applyNumberFormat="1" applyFont="1" applyBorder="1" applyAlignment="1" applyProtection="1">
      <alignment vertical="center"/>
      <protection hidden="1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 quotePrefix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7" fillId="0" borderId="1" xfId="0" applyNumberFormat="1" applyFont="1" applyBorder="1" applyAlignment="1" applyProtection="1">
      <alignment vertical="center"/>
      <protection hidden="1"/>
    </xf>
    <xf numFmtId="0" fontId="6" fillId="0" borderId="13" xfId="0" applyFont="1" applyBorder="1" applyAlignment="1">
      <alignment horizontal="right" vertical="center"/>
    </xf>
    <xf numFmtId="0" fontId="6" fillId="0" borderId="10" xfId="0" applyFont="1" applyBorder="1" applyAlignment="1" quotePrefix="1">
      <alignment vertical="center"/>
    </xf>
    <xf numFmtId="0" fontId="7" fillId="0" borderId="2" xfId="0" applyFont="1" applyBorder="1" applyAlignment="1" quotePrefix="1">
      <alignment vertical="center"/>
    </xf>
    <xf numFmtId="3" fontId="7" fillId="0" borderId="1" xfId="0" applyNumberFormat="1" applyFont="1" applyBorder="1" applyAlignment="1" applyProtection="1">
      <alignment vertical="center"/>
      <protection hidden="1"/>
    </xf>
    <xf numFmtId="0" fontId="7" fillId="0" borderId="4" xfId="0" applyFont="1" applyBorder="1" applyAlignment="1">
      <alignment vertical="center"/>
    </xf>
    <xf numFmtId="0" fontId="5" fillId="0" borderId="0" xfId="20" applyFont="1" applyAlignment="1">
      <alignment horizontal="center" vertical="center"/>
      <protection/>
    </xf>
    <xf numFmtId="0" fontId="6" fillId="0" borderId="1" xfId="20" applyFont="1" applyBorder="1" applyAlignment="1">
      <alignment horizontal="left" vertical="center"/>
      <protection/>
    </xf>
    <xf numFmtId="0" fontId="6" fillId="0" borderId="1" xfId="20" applyFont="1" applyBorder="1" applyAlignment="1">
      <alignment vertical="center"/>
      <protection/>
    </xf>
    <xf numFmtId="0" fontId="7" fillId="0" borderId="1" xfId="20" applyFont="1" applyBorder="1" applyAlignment="1">
      <alignment vertical="center"/>
      <protection/>
    </xf>
    <xf numFmtId="3" fontId="7" fillId="0" borderId="1" xfId="20" applyNumberFormat="1" applyFont="1" applyBorder="1" applyAlignment="1">
      <alignment vertical="center"/>
      <protection/>
    </xf>
    <xf numFmtId="3" fontId="7" fillId="0" borderId="1" xfId="20" applyNumberFormat="1" applyFont="1" applyBorder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6" fillId="0" borderId="5" xfId="20" applyFont="1" applyBorder="1" applyAlignment="1">
      <alignment vertical="center"/>
      <protection/>
    </xf>
    <xf numFmtId="0" fontId="7" fillId="0" borderId="5" xfId="20" applyFont="1" applyBorder="1" applyAlignment="1">
      <alignment vertical="center"/>
      <protection/>
    </xf>
    <xf numFmtId="0" fontId="7" fillId="0" borderId="3" xfId="20" applyFont="1" applyBorder="1" applyAlignment="1">
      <alignment vertical="center"/>
      <protection/>
    </xf>
    <xf numFmtId="0" fontId="6" fillId="0" borderId="2" xfId="20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3" fontId="6" fillId="0" borderId="1" xfId="20" applyNumberFormat="1" applyFont="1" applyBorder="1" applyAlignment="1">
      <alignment vertical="center"/>
      <protection/>
    </xf>
    <xf numFmtId="0" fontId="6" fillId="0" borderId="2" xfId="20" applyFont="1" applyBorder="1" applyAlignment="1">
      <alignment vertical="center"/>
      <protection/>
    </xf>
    <xf numFmtId="3" fontId="6" fillId="0" borderId="2" xfId="20" applyNumberFormat="1" applyFont="1" applyBorder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6" fillId="0" borderId="13" xfId="20" applyFont="1" applyBorder="1" applyAlignment="1">
      <alignment vertical="center"/>
      <protection/>
    </xf>
    <xf numFmtId="0" fontId="6" fillId="0" borderId="12" xfId="20" applyFont="1" applyBorder="1" applyAlignment="1">
      <alignment vertical="center"/>
      <protection/>
    </xf>
    <xf numFmtId="0" fontId="6" fillId="0" borderId="11" xfId="20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6" fillId="0" borderId="8" xfId="20" applyFont="1" applyBorder="1" applyAlignment="1">
      <alignment vertical="center"/>
      <protection/>
    </xf>
    <xf numFmtId="3" fontId="6" fillId="0" borderId="5" xfId="20" applyNumberFormat="1" applyFont="1" applyBorder="1" applyAlignment="1">
      <alignment vertical="center"/>
      <protection/>
    </xf>
    <xf numFmtId="0" fontId="6" fillId="0" borderId="2" xfId="20" applyFont="1" applyBorder="1" applyAlignment="1">
      <alignment vertical="center" wrapText="1"/>
      <protection/>
    </xf>
    <xf numFmtId="0" fontId="6" fillId="0" borderId="1" xfId="20" applyFont="1" applyBorder="1" applyAlignment="1">
      <alignment vertical="center"/>
      <protection/>
    </xf>
    <xf numFmtId="3" fontId="6" fillId="0" borderId="8" xfId="20" applyNumberFormat="1" applyFont="1" applyBorder="1" applyAlignment="1">
      <alignment vertical="center"/>
      <protection/>
    </xf>
    <xf numFmtId="0" fontId="7" fillId="0" borderId="8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7" fillId="0" borderId="9" xfId="20" applyFont="1" applyBorder="1" applyAlignment="1">
      <alignment vertical="center"/>
      <protection/>
    </xf>
    <xf numFmtId="0" fontId="7" fillId="0" borderId="6" xfId="20" applyFont="1" applyBorder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Border="1" applyAlignment="1">
      <alignment vertical="center"/>
      <protection/>
    </xf>
    <xf numFmtId="3" fontId="7" fillId="0" borderId="0" xfId="20" applyNumberFormat="1" applyFont="1" applyBorder="1" applyAlignment="1">
      <alignment vertical="center"/>
      <protection/>
    </xf>
    <xf numFmtId="3" fontId="6" fillId="0" borderId="0" xfId="20" applyNumberFormat="1" applyFont="1" applyBorder="1" applyAlignment="1">
      <alignment vertical="center"/>
      <protection/>
    </xf>
    <xf numFmtId="0" fontId="6" fillId="0" borderId="0" xfId="20" applyFont="1" applyBorder="1" applyAlignment="1" quotePrefix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7" fillId="0" borderId="0" xfId="20" applyFont="1" applyBorder="1" applyAlignment="1">
      <alignment vertical="center" wrapText="1"/>
      <protection/>
    </xf>
    <xf numFmtId="3" fontId="6" fillId="0" borderId="0" xfId="20" applyNumberFormat="1" applyFont="1" applyAlignment="1">
      <alignment vertical="center"/>
      <protection/>
    </xf>
    <xf numFmtId="0" fontId="50" fillId="0" borderId="0" xfId="22" applyBorder="1">
      <alignment/>
      <protection/>
    </xf>
    <xf numFmtId="3" fontId="27" fillId="0" borderId="1" xfId="0" applyNumberFormat="1" applyFont="1" applyBorder="1" applyAlignment="1">
      <alignment/>
    </xf>
    <xf numFmtId="3" fontId="41" fillId="0" borderId="1" xfId="0" applyNumberFormat="1" applyFont="1" applyBorder="1" applyAlignment="1">
      <alignment/>
    </xf>
    <xf numFmtId="3" fontId="27" fillId="0" borderId="1" xfId="0" applyNumberFormat="1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3" fontId="7" fillId="0" borderId="12" xfId="24" applyNumberFormat="1" applyFont="1" applyBorder="1" applyAlignment="1" applyProtection="1">
      <alignment horizontal="right" vertical="center"/>
      <protection locked="0"/>
    </xf>
    <xf numFmtId="3" fontId="7" fillId="0" borderId="9" xfId="24" applyNumberFormat="1" applyFont="1" applyBorder="1" applyAlignment="1" applyProtection="1">
      <alignment horizontal="right" vertical="center"/>
      <protection locked="0"/>
    </xf>
    <xf numFmtId="10" fontId="6" fillId="0" borderId="11" xfId="25" applyNumberFormat="1" applyFont="1" applyBorder="1" applyAlignment="1" applyProtection="1">
      <alignment horizontal="right" vertical="center"/>
      <protection locked="0"/>
    </xf>
    <xf numFmtId="10" fontId="6" fillId="0" borderId="7" xfId="25" applyNumberFormat="1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>
      <alignment/>
    </xf>
    <xf numFmtId="0" fontId="18" fillId="0" borderId="1" xfId="0" applyFont="1" applyBorder="1" applyAlignment="1">
      <alignment horizontal="center" vertical="center"/>
    </xf>
    <xf numFmtId="3" fontId="41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3" fontId="41" fillId="0" borderId="1" xfId="0" applyNumberFormat="1" applyFont="1" applyBorder="1" applyAlignment="1">
      <alignment wrapText="1"/>
    </xf>
    <xf numFmtId="3" fontId="41" fillId="0" borderId="1" xfId="0" applyNumberFormat="1" applyFont="1" applyBorder="1" applyAlignment="1">
      <alignment vertical="center" wrapText="1"/>
    </xf>
    <xf numFmtId="0" fontId="20" fillId="0" borderId="1" xfId="24" applyFont="1" applyBorder="1" applyAlignment="1" applyProtection="1">
      <alignment vertical="center"/>
      <protection hidden="1"/>
    </xf>
    <xf numFmtId="3" fontId="54" fillId="0" borderId="0" xfId="28" applyNumberFormat="1" applyFont="1">
      <alignment/>
      <protection/>
    </xf>
    <xf numFmtId="0" fontId="54" fillId="0" borderId="0" xfId="28" applyFont="1">
      <alignment/>
      <protection/>
    </xf>
    <xf numFmtId="3" fontId="41" fillId="0" borderId="1" xfId="28" applyNumberFormat="1" applyFont="1" applyFill="1" applyBorder="1">
      <alignment/>
      <protection/>
    </xf>
    <xf numFmtId="3" fontId="27" fillId="0" borderId="7" xfId="28" applyNumberFormat="1" applyFont="1" applyFill="1" applyBorder="1">
      <alignment/>
      <protection/>
    </xf>
    <xf numFmtId="0" fontId="27" fillId="0" borderId="1" xfId="19" applyFont="1" applyBorder="1" applyAlignment="1">
      <alignment vertical="center"/>
      <protection/>
    </xf>
    <xf numFmtId="3" fontId="27" fillId="0" borderId="1" xfId="19" applyNumberFormat="1" applyFont="1" applyBorder="1" applyAlignment="1">
      <alignment vertical="center" wrapText="1"/>
      <protection/>
    </xf>
    <xf numFmtId="0" fontId="27" fillId="0" borderId="1" xfId="0" applyFont="1" applyBorder="1" applyAlignment="1">
      <alignment vertical="center" wrapText="1"/>
    </xf>
    <xf numFmtId="3" fontId="27" fillId="0" borderId="7" xfId="28" applyNumberFormat="1" applyFont="1" applyFill="1" applyBorder="1" applyAlignment="1">
      <alignment vertical="center"/>
      <protection/>
    </xf>
    <xf numFmtId="3" fontId="43" fillId="0" borderId="0" xfId="28" applyNumberFormat="1" applyFont="1" applyAlignment="1">
      <alignment vertical="center"/>
      <protection/>
    </xf>
    <xf numFmtId="0" fontId="43" fillId="0" borderId="0" xfId="28" applyFont="1" applyAlignment="1">
      <alignment vertical="center"/>
      <protection/>
    </xf>
    <xf numFmtId="182" fontId="6" fillId="0" borderId="1" xfId="0" applyNumberFormat="1" applyFont="1" applyBorder="1" applyAlignment="1">
      <alignment/>
    </xf>
    <xf numFmtId="182" fontId="7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27" fillId="0" borderId="1" xfId="24" applyFont="1" applyBorder="1" applyAlignment="1">
      <alignment horizontal="center" vertical="center" wrapText="1"/>
      <protection/>
    </xf>
    <xf numFmtId="3" fontId="7" fillId="0" borderId="8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 vertical="center"/>
    </xf>
    <xf numFmtId="0" fontId="27" fillId="0" borderId="1" xfId="0" applyFont="1" applyBorder="1" applyAlignment="1">
      <alignment horizontal="right" vertical="center" wrapText="1"/>
    </xf>
    <xf numFmtId="0" fontId="27" fillId="0" borderId="1" xfId="24" applyFont="1" applyBorder="1" applyAlignment="1">
      <alignment horizontal="center" vertical="center" wrapText="1"/>
      <protection/>
    </xf>
    <xf numFmtId="3" fontId="18" fillId="0" borderId="1" xfId="0" applyNumberFormat="1" applyFont="1" applyBorder="1" applyAlignment="1" quotePrefix="1">
      <alignment horizontal="right"/>
    </xf>
    <xf numFmtId="3" fontId="7" fillId="0" borderId="8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0" fontId="8" fillId="0" borderId="0" xfId="0" applyNumberFormat="1" applyFont="1" applyFill="1" applyBorder="1" applyAlignment="1">
      <alignment/>
    </xf>
    <xf numFmtId="3" fontId="35" fillId="0" borderId="1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1" fontId="18" fillId="0" borderId="1" xfId="21" applyNumberFormat="1" applyFont="1" applyBorder="1" applyAlignment="1">
      <alignment horizontal="right"/>
      <protection/>
    </xf>
    <xf numFmtId="1" fontId="18" fillId="0" borderId="1" xfId="21" applyNumberFormat="1" applyFont="1" applyBorder="1">
      <alignment/>
      <protection/>
    </xf>
    <xf numFmtId="1" fontId="18" fillId="0" borderId="1" xfId="21" applyNumberFormat="1" applyFont="1" applyBorder="1" applyAlignment="1">
      <alignment vertical="center"/>
      <protection/>
    </xf>
    <xf numFmtId="0" fontId="13" fillId="0" borderId="0" xfId="29" applyFont="1" applyAlignment="1">
      <alignment horizontal="centerContinuous"/>
      <protection/>
    </xf>
    <xf numFmtId="0" fontId="7" fillId="0" borderId="0" xfId="29" applyFont="1" applyAlignment="1">
      <alignment horizontal="centerContinuous"/>
      <protection/>
    </xf>
    <xf numFmtId="0" fontId="6" fillId="0" borderId="0" xfId="29" applyFont="1" applyAlignment="1">
      <alignment horizontal="centerContinuous"/>
      <protection/>
    </xf>
    <xf numFmtId="0" fontId="6" fillId="0" borderId="3" xfId="0" applyFont="1" applyBorder="1" applyAlignment="1">
      <alignment horizontal="center"/>
    </xf>
    <xf numFmtId="0" fontId="35" fillId="0" borderId="0" xfId="23" applyFont="1">
      <alignment/>
      <protection/>
    </xf>
    <xf numFmtId="0" fontId="53" fillId="0" borderId="0" xfId="23" applyFont="1">
      <alignment/>
      <protection/>
    </xf>
    <xf numFmtId="0" fontId="50" fillId="0" borderId="0" xfId="23">
      <alignment/>
      <protection/>
    </xf>
    <xf numFmtId="0" fontId="40" fillId="0" borderId="0" xfId="23" applyFont="1" applyAlignment="1">
      <alignment horizontal="center"/>
      <protection/>
    </xf>
    <xf numFmtId="0" fontId="52" fillId="0" borderId="0" xfId="23" applyFont="1">
      <alignment/>
      <protection/>
    </xf>
    <xf numFmtId="0" fontId="35" fillId="0" borderId="1" xfId="23" applyFont="1" applyBorder="1" applyAlignment="1">
      <alignment horizontal="center"/>
      <protection/>
    </xf>
    <xf numFmtId="0" fontId="35" fillId="0" borderId="1" xfId="23" applyFont="1" applyBorder="1">
      <alignment/>
      <protection/>
    </xf>
    <xf numFmtId="3" fontId="35" fillId="0" borderId="1" xfId="23" applyNumberFormat="1" applyFont="1" applyBorder="1">
      <alignment/>
      <protection/>
    </xf>
    <xf numFmtId="16" fontId="53" fillId="0" borderId="1" xfId="23" applyNumberFormat="1" applyFont="1" applyBorder="1" applyAlignment="1">
      <alignment horizontal="center"/>
      <protection/>
    </xf>
    <xf numFmtId="0" fontId="53" fillId="0" borderId="1" xfId="23" applyFont="1" applyBorder="1">
      <alignment/>
      <protection/>
    </xf>
    <xf numFmtId="3" fontId="53" fillId="0" borderId="1" xfId="23" applyNumberFormat="1" applyFont="1" applyBorder="1">
      <alignment/>
      <protection/>
    </xf>
    <xf numFmtId="0" fontId="46" fillId="0" borderId="0" xfId="23" applyFont="1">
      <alignment/>
      <protection/>
    </xf>
    <xf numFmtId="0" fontId="50" fillId="0" borderId="0" xfId="23" applyAlignment="1">
      <alignment horizontal="right"/>
      <protection/>
    </xf>
    <xf numFmtId="0" fontId="46" fillId="0" borderId="0" xfId="23" applyFont="1" applyAlignment="1">
      <alignment horizontal="justify" wrapText="1"/>
      <protection/>
    </xf>
    <xf numFmtId="0" fontId="46" fillId="0" borderId="0" xfId="23" applyFont="1" applyAlignment="1">
      <alignment horizontal="justify"/>
      <protection/>
    </xf>
    <xf numFmtId="0" fontId="46" fillId="0" borderId="0" xfId="23" applyFont="1" applyAlignment="1">
      <alignment/>
      <protection/>
    </xf>
    <xf numFmtId="0" fontId="55" fillId="0" borderId="0" xfId="22" applyFont="1" applyAlignment="1">
      <alignment horizontal="center"/>
      <protection/>
    </xf>
    <xf numFmtId="0" fontId="35" fillId="0" borderId="1" xfId="22" applyFont="1" applyBorder="1" applyAlignment="1">
      <alignment horizontal="center" vertical="center" wrapText="1"/>
      <protection/>
    </xf>
    <xf numFmtId="0" fontId="35" fillId="0" borderId="1" xfId="22" applyFont="1" applyBorder="1" applyAlignment="1">
      <alignment horizontal="left" vertical="center" wrapText="1"/>
      <protection/>
    </xf>
    <xf numFmtId="0" fontId="35" fillId="0" borderId="1" xfId="22" applyFont="1" applyBorder="1" applyAlignment="1">
      <alignment horizontal="left" vertical="center"/>
      <protection/>
    </xf>
    <xf numFmtId="0" fontId="35" fillId="0" borderId="1" xfId="22" applyFont="1" applyBorder="1" applyAlignment="1">
      <alignment horizontal="center" vertical="center"/>
      <protection/>
    </xf>
    <xf numFmtId="3" fontId="35" fillId="0" borderId="1" xfId="22" applyNumberFormat="1" applyFont="1" applyBorder="1" applyAlignment="1">
      <alignment vertical="center"/>
      <protection/>
    </xf>
    <xf numFmtId="0" fontId="35" fillId="0" borderId="0" xfId="22" applyFont="1" applyBorder="1" applyAlignment="1">
      <alignment vertical="center"/>
      <protection/>
    </xf>
    <xf numFmtId="0" fontId="35" fillId="0" borderId="8" xfId="22" applyFont="1" applyBorder="1" applyAlignment="1">
      <alignment vertical="center"/>
      <protection/>
    </xf>
    <xf numFmtId="0" fontId="35" fillId="0" borderId="1" xfId="22" applyFont="1" applyBorder="1" applyAlignment="1">
      <alignment vertical="center"/>
      <protection/>
    </xf>
    <xf numFmtId="0" fontId="35" fillId="0" borderId="5" xfId="22" applyFont="1" applyBorder="1" applyAlignment="1">
      <alignment vertical="center"/>
      <protection/>
    </xf>
    <xf numFmtId="0" fontId="53" fillId="0" borderId="1" xfId="22" applyFont="1" applyBorder="1" applyAlignment="1">
      <alignment horizontal="center" vertical="center"/>
      <protection/>
    </xf>
    <xf numFmtId="0" fontId="53" fillId="0" borderId="1" xfId="22" applyFont="1" applyBorder="1" applyAlignment="1">
      <alignment horizontal="left" vertical="center"/>
      <protection/>
    </xf>
    <xf numFmtId="3" fontId="53" fillId="0" borderId="1" xfId="22" applyNumberFormat="1" applyFont="1" applyBorder="1" applyAlignment="1">
      <alignment vertical="center"/>
      <protection/>
    </xf>
    <xf numFmtId="0" fontId="53" fillId="0" borderId="0" xfId="22" applyFont="1" applyBorder="1" applyAlignment="1">
      <alignment vertical="center"/>
      <protection/>
    </xf>
    <xf numFmtId="0" fontId="53" fillId="0" borderId="0" xfId="22" applyFont="1" applyAlignment="1">
      <alignment vertical="center"/>
      <protection/>
    </xf>
    <xf numFmtId="0" fontId="0" fillId="0" borderId="0" xfId="0" applyFont="1" applyAlignment="1">
      <alignment vertical="top"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 wrapText="1"/>
    </xf>
    <xf numFmtId="0" fontId="2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35" fillId="0" borderId="1" xfId="23" applyFont="1" applyBorder="1" applyAlignment="1">
      <alignment horizontal="center" vertical="center"/>
      <protection/>
    </xf>
    <xf numFmtId="0" fontId="35" fillId="0" borderId="1" xfId="23" applyFont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Continuous"/>
    </xf>
    <xf numFmtId="0" fontId="27" fillId="0" borderId="3" xfId="0" applyFont="1" applyBorder="1" applyAlignment="1">
      <alignment horizontal="centerContinuous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Continuous"/>
    </xf>
    <xf numFmtId="0" fontId="56" fillId="0" borderId="1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left" indent="3"/>
    </xf>
    <xf numFmtId="1" fontId="27" fillId="0" borderId="1" xfId="24" applyNumberFormat="1" applyFont="1" applyBorder="1" applyAlignment="1" applyProtection="1">
      <alignment horizontal="right" vertical="center" wrapText="1"/>
      <protection hidden="1"/>
    </xf>
    <xf numFmtId="0" fontId="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wrapText="1"/>
    </xf>
    <xf numFmtId="0" fontId="27" fillId="0" borderId="5" xfId="0" applyFont="1" applyBorder="1" applyAlignment="1">
      <alignment wrapText="1"/>
    </xf>
    <xf numFmtId="3" fontId="6" fillId="0" borderId="3" xfId="0" applyNumberFormat="1" applyFont="1" applyBorder="1" applyAlignment="1">
      <alignment horizontal="centerContinuous"/>
    </xf>
    <xf numFmtId="3" fontId="6" fillId="0" borderId="4" xfId="0" applyNumberFormat="1" applyFont="1" applyBorder="1" applyAlignment="1">
      <alignment horizontal="centerContinuous"/>
    </xf>
    <xf numFmtId="3" fontId="6" fillId="0" borderId="2" xfId="0" applyNumberFormat="1" applyFont="1" applyBorder="1" applyAlignment="1">
      <alignment horizontal="centerContinuous"/>
    </xf>
    <xf numFmtId="0" fontId="27" fillId="0" borderId="1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3" fontId="18" fillId="0" borderId="0" xfId="26" applyNumberFormat="1" applyFont="1" applyBorder="1" applyAlignment="1">
      <alignment horizontal="right" vertical="top"/>
      <protection/>
    </xf>
    <xf numFmtId="3" fontId="18" fillId="0" borderId="0" xfId="26" applyNumberFormat="1" applyFont="1" applyBorder="1" applyAlignment="1" applyProtection="1">
      <alignment horizontal="right" vertical="top"/>
      <protection locked="0"/>
    </xf>
    <xf numFmtId="0" fontId="0" fillId="0" borderId="0" xfId="0" applyFont="1" applyBorder="1" applyAlignment="1">
      <alignment/>
    </xf>
    <xf numFmtId="3" fontId="20" fillId="0" borderId="0" xfId="26" applyNumberFormat="1" applyFont="1" applyBorder="1" applyAlignment="1" applyProtection="1">
      <alignment horizontal="right" vertical="top"/>
      <protection locked="0"/>
    </xf>
    <xf numFmtId="0" fontId="1" fillId="0" borderId="0" xfId="0" applyFont="1" applyBorder="1" applyAlignment="1">
      <alignment/>
    </xf>
    <xf numFmtId="3" fontId="7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7" fillId="0" borderId="0" xfId="0" applyFont="1" applyBorder="1" applyAlignment="1" applyProtection="1" quotePrefix="1">
      <alignment vertical="center"/>
      <protection hidden="1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0" fontId="6" fillId="0" borderId="1" xfId="26" applyFont="1" applyBorder="1" applyAlignment="1">
      <alignment/>
      <protection/>
    </xf>
    <xf numFmtId="3" fontId="6" fillId="0" borderId="1" xfId="26" applyNumberFormat="1" applyFont="1" applyBorder="1" applyAlignment="1">
      <alignment horizontal="right" vertical="top"/>
      <protection/>
    </xf>
    <xf numFmtId="0" fontId="7" fillId="0" borderId="1" xfId="26" applyFont="1" applyBorder="1" applyAlignment="1">
      <alignment/>
      <protection/>
    </xf>
    <xf numFmtId="3" fontId="7" fillId="0" borderId="1" xfId="26" applyNumberFormat="1" applyFont="1" applyBorder="1" applyAlignment="1">
      <alignment horizontal="right" vertical="top"/>
      <protection/>
    </xf>
    <xf numFmtId="0" fontId="18" fillId="0" borderId="4" xfId="26" applyFont="1" applyBorder="1" applyAlignment="1" quotePrefix="1">
      <alignment vertical="center"/>
      <protection/>
    </xf>
    <xf numFmtId="3" fontId="18" fillId="0" borderId="3" xfId="26" applyNumberFormat="1" applyFont="1" applyBorder="1" applyAlignment="1" applyProtection="1">
      <alignment horizontal="right" vertical="center"/>
      <protection locked="0"/>
    </xf>
    <xf numFmtId="3" fontId="18" fillId="0" borderId="1" xfId="26" applyNumberFormat="1" applyFont="1" applyFill="1" applyBorder="1" applyAlignment="1">
      <alignment horizontal="right" vertical="center"/>
      <protection/>
    </xf>
    <xf numFmtId="3" fontId="20" fillId="0" borderId="1" xfId="26" applyNumberFormat="1" applyFont="1" applyFill="1" applyBorder="1" applyAlignment="1">
      <alignment horizontal="right" vertical="center"/>
      <protection/>
    </xf>
    <xf numFmtId="10" fontId="18" fillId="0" borderId="1" xfId="26" applyNumberFormat="1" applyFont="1" applyFill="1" applyBorder="1" applyAlignment="1">
      <alignment horizontal="right" vertical="center"/>
      <protection/>
    </xf>
    <xf numFmtId="0" fontId="9" fillId="0" borderId="0" xfId="27" applyAlignment="1">
      <alignment vertical="center"/>
      <protection/>
    </xf>
    <xf numFmtId="0" fontId="6" fillId="0" borderId="0" xfId="26" applyFont="1" applyAlignment="1">
      <alignment vertical="center"/>
      <protection/>
    </xf>
    <xf numFmtId="0" fontId="18" fillId="0" borderId="0" xfId="26" applyFont="1" applyBorder="1" applyAlignment="1">
      <alignment horizontal="right"/>
      <protection/>
    </xf>
    <xf numFmtId="0" fontId="18" fillId="0" borderId="0" xfId="26" applyFont="1" applyBorder="1" quotePrefix="1">
      <alignment/>
      <protection/>
    </xf>
    <xf numFmtId="3" fontId="18" fillId="0" borderId="0" xfId="26" applyNumberFormat="1" applyFont="1" applyFill="1" applyBorder="1" applyAlignment="1">
      <alignment horizontal="right" vertical="top"/>
      <protection/>
    </xf>
    <xf numFmtId="3" fontId="20" fillId="0" borderId="0" xfId="26" applyNumberFormat="1" applyFont="1" applyFill="1" applyBorder="1" applyAlignment="1">
      <alignment horizontal="right" vertical="top"/>
      <protection/>
    </xf>
    <xf numFmtId="10" fontId="18" fillId="0" borderId="0" xfId="26" applyNumberFormat="1" applyFont="1" applyFill="1" applyBorder="1" applyAlignment="1">
      <alignment horizontal="right" vertical="top"/>
      <protection/>
    </xf>
    <xf numFmtId="0" fontId="16" fillId="0" borderId="1" xfId="26" applyFont="1" applyBorder="1" applyAlignment="1">
      <alignment horizontal="right"/>
      <protection/>
    </xf>
    <xf numFmtId="3" fontId="18" fillId="0" borderId="2" xfId="26" applyNumberFormat="1" applyFont="1" applyBorder="1" applyAlignment="1">
      <alignment horizontal="center" vertical="center" wrapText="1"/>
      <protection/>
    </xf>
    <xf numFmtId="3" fontId="18" fillId="0" borderId="2" xfId="26" applyNumberFormat="1" applyFont="1" applyBorder="1" applyAlignment="1">
      <alignment horizontal="right" vertical="top"/>
      <protection/>
    </xf>
    <xf numFmtId="0" fontId="7" fillId="0" borderId="3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5" fillId="0" borderId="0" xfId="24" applyFont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/>
    </xf>
    <xf numFmtId="0" fontId="5" fillId="0" borderId="0" xfId="24" applyFont="1" applyBorder="1" applyAlignment="1" applyProtection="1">
      <alignment horizontal="center" vertical="center" wrapText="1"/>
      <protection hidden="1"/>
    </xf>
    <xf numFmtId="0" fontId="24" fillId="0" borderId="0" xfId="0" applyFont="1" applyAlignment="1">
      <alignment/>
    </xf>
    <xf numFmtId="0" fontId="5" fillId="0" borderId="0" xfId="24" applyFont="1" applyBorder="1" applyAlignment="1" applyProtection="1">
      <alignment horizontal="center" vertical="center" wrapText="1"/>
      <protection hidden="1"/>
    </xf>
    <xf numFmtId="0" fontId="14" fillId="0" borderId="0" xfId="24" applyFont="1" applyBorder="1" applyAlignment="1" applyProtection="1">
      <alignment horizontal="center" vertical="center" wrapText="1"/>
      <protection hidden="1"/>
    </xf>
    <xf numFmtId="0" fontId="5" fillId="0" borderId="0" xfId="24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3" xfId="20" applyFont="1" applyBorder="1" applyAlignment="1">
      <alignment horizontal="left" vertical="center" wrapText="1"/>
      <protection/>
    </xf>
    <xf numFmtId="0" fontId="6" fillId="0" borderId="2" xfId="20" applyFont="1" applyBorder="1" applyAlignment="1">
      <alignment horizontal="left" vertical="center" wrapText="1"/>
      <protection/>
    </xf>
    <xf numFmtId="0" fontId="6" fillId="0" borderId="3" xfId="20" applyFont="1" applyBorder="1" applyAlignment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13" fillId="0" borderId="0" xfId="20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14" fillId="0" borderId="0" xfId="24" applyFont="1" applyBorder="1" applyAlignment="1" applyProtection="1">
      <alignment horizontal="center" vertical="center"/>
      <protection hidden="1"/>
    </xf>
    <xf numFmtId="0" fontId="5" fillId="0" borderId="0" xfId="26" applyFont="1" applyBorder="1" applyAlignment="1">
      <alignment horizontal="center" vertical="center" wrapText="1"/>
      <protection/>
    </xf>
    <xf numFmtId="0" fontId="18" fillId="0" borderId="4" xfId="0" applyFont="1" applyBorder="1" applyAlignment="1" quotePrefix="1">
      <alignment horizontal="left" wrapText="1"/>
    </xf>
    <xf numFmtId="0" fontId="18" fillId="0" borderId="2" xfId="0" applyFont="1" applyBorder="1" applyAlignment="1" quotePrefix="1">
      <alignment horizontal="left" wrapText="1"/>
    </xf>
    <xf numFmtId="0" fontId="18" fillId="0" borderId="4" xfId="26" applyFont="1" applyBorder="1" applyAlignment="1" quotePrefix="1">
      <alignment horizontal="left" vertical="center" wrapText="1"/>
      <protection/>
    </xf>
    <xf numFmtId="0" fontId="18" fillId="0" borderId="2" xfId="26" applyFont="1" applyBorder="1" applyAlignment="1" quotePrefix="1">
      <alignment horizontal="left" vertical="center" wrapText="1"/>
      <protection/>
    </xf>
    <xf numFmtId="3" fontId="7" fillId="0" borderId="3" xfId="25" applyNumberFormat="1" applyFont="1" applyBorder="1" applyAlignment="1">
      <alignment horizontal="center" vertical="center"/>
      <protection/>
    </xf>
    <xf numFmtId="3" fontId="7" fillId="0" borderId="4" xfId="25" applyNumberFormat="1" applyFont="1" applyBorder="1" applyAlignment="1">
      <alignment horizontal="center" vertical="center"/>
      <protection/>
    </xf>
    <xf numFmtId="3" fontId="7" fillId="0" borderId="2" xfId="25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/>
      <protection/>
    </xf>
    <xf numFmtId="1" fontId="18" fillId="0" borderId="5" xfId="21" applyNumberFormat="1" applyFont="1" applyBorder="1" applyAlignment="1">
      <alignment horizontal="right" vertical="center"/>
      <protection/>
    </xf>
    <xf numFmtId="1" fontId="18" fillId="0" borderId="13" xfId="21" applyNumberFormat="1" applyFont="1" applyBorder="1" applyAlignment="1">
      <alignment horizontal="right" vertical="center"/>
      <protection/>
    </xf>
    <xf numFmtId="3" fontId="18" fillId="0" borderId="5" xfId="21" applyNumberFormat="1" applyFont="1" applyBorder="1" applyAlignment="1">
      <alignment horizontal="right" vertical="center"/>
      <protection/>
    </xf>
    <xf numFmtId="3" fontId="18" fillId="0" borderId="13" xfId="21" applyNumberFormat="1" applyFont="1" applyBorder="1" applyAlignment="1">
      <alignment horizontal="right" vertical="center"/>
      <protection/>
    </xf>
    <xf numFmtId="0" fontId="18" fillId="0" borderId="5" xfId="21" applyFont="1" applyBorder="1" applyAlignment="1">
      <alignment horizontal="left" vertical="center"/>
      <protection/>
    </xf>
    <xf numFmtId="0" fontId="18" fillId="0" borderId="13" xfId="21" applyFont="1" applyBorder="1" applyAlignment="1">
      <alignment horizontal="left" vertical="center"/>
      <protection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horizontal="right"/>
    </xf>
    <xf numFmtId="0" fontId="18" fillId="0" borderId="12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3" xfId="0" applyFont="1" applyBorder="1" applyAlignment="1">
      <alignment/>
    </xf>
    <xf numFmtId="0" fontId="18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6" xfId="0" applyFont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22" applyFont="1" applyAlignment="1">
      <alignment horizontal="center"/>
      <protection/>
    </xf>
    <xf numFmtId="0" fontId="35" fillId="0" borderId="12" xfId="22" applyFont="1" applyBorder="1" applyAlignment="1">
      <alignment horizontal="center" vertical="center"/>
      <protection/>
    </xf>
    <xf numFmtId="0" fontId="35" fillId="0" borderId="10" xfId="22" applyFont="1" applyBorder="1" applyAlignment="1">
      <alignment vertical="center"/>
      <protection/>
    </xf>
    <xf numFmtId="0" fontId="35" fillId="0" borderId="11" xfId="22" applyFont="1" applyBorder="1" applyAlignment="1">
      <alignment vertical="center"/>
      <protection/>
    </xf>
    <xf numFmtId="0" fontId="35" fillId="0" borderId="9" xfId="22" applyFont="1" applyBorder="1" applyAlignment="1">
      <alignment vertical="center"/>
      <protection/>
    </xf>
    <xf numFmtId="0" fontId="35" fillId="0" borderId="6" xfId="22" applyFont="1" applyBorder="1" applyAlignment="1">
      <alignment vertical="center"/>
      <protection/>
    </xf>
    <xf numFmtId="0" fontId="35" fillId="0" borderId="7" xfId="22" applyFont="1" applyBorder="1" applyAlignment="1">
      <alignment vertical="center"/>
      <protection/>
    </xf>
    <xf numFmtId="0" fontId="35" fillId="0" borderId="5" xfId="22" applyFont="1" applyBorder="1" applyAlignment="1">
      <alignment horizontal="center" vertical="center" wrapText="1"/>
      <protection/>
    </xf>
    <xf numFmtId="0" fontId="35" fillId="0" borderId="13" xfId="22" applyFont="1" applyBorder="1" applyAlignment="1">
      <alignment horizontal="center" vertical="center" wrapText="1"/>
      <protection/>
    </xf>
    <xf numFmtId="0" fontId="35" fillId="0" borderId="13" xfId="22" applyFont="1" applyBorder="1" applyAlignment="1">
      <alignment vertical="center"/>
      <protection/>
    </xf>
    <xf numFmtId="0" fontId="35" fillId="0" borderId="13" xfId="22" applyFont="1" applyBorder="1" applyAlignment="1">
      <alignment/>
      <protection/>
    </xf>
    <xf numFmtId="0" fontId="35" fillId="0" borderId="12" xfId="22" applyFont="1" applyBorder="1" applyAlignment="1">
      <alignment horizontal="center" vertical="center" wrapText="1"/>
      <protection/>
    </xf>
    <xf numFmtId="0" fontId="35" fillId="0" borderId="10" xfId="22" applyFont="1" applyBorder="1" applyAlignment="1">
      <alignment horizontal="center" vertical="center" wrapText="1"/>
      <protection/>
    </xf>
    <xf numFmtId="0" fontId="35" fillId="0" borderId="11" xfId="22" applyFont="1" applyBorder="1" applyAlignment="1">
      <alignment horizontal="center" vertical="center" wrapText="1"/>
      <protection/>
    </xf>
    <xf numFmtId="0" fontId="35" fillId="0" borderId="9" xfId="22" applyFont="1" applyBorder="1" applyAlignment="1">
      <alignment horizontal="center" vertical="center" wrapText="1"/>
      <protection/>
    </xf>
    <xf numFmtId="0" fontId="35" fillId="0" borderId="6" xfId="22" applyFont="1" applyBorder="1" applyAlignment="1">
      <alignment horizontal="center" vertical="center" wrapText="1"/>
      <protection/>
    </xf>
    <xf numFmtId="0" fontId="35" fillId="0" borderId="7" xfId="22" applyFont="1" applyBorder="1" applyAlignment="1">
      <alignment horizontal="center" vertical="center" wrapText="1"/>
      <protection/>
    </xf>
    <xf numFmtId="0" fontId="40" fillId="0" borderId="0" xfId="23" applyFont="1" applyAlignment="1">
      <alignment horizontal="center"/>
      <protection/>
    </xf>
    <xf numFmtId="0" fontId="46" fillId="0" borderId="0" xfId="23" applyFont="1" applyAlignment="1">
      <alignment horizontal="justify" vertical="center" wrapText="1"/>
      <protection/>
    </xf>
    <xf numFmtId="0" fontId="50" fillId="0" borderId="0" xfId="23" applyAlignment="1">
      <alignment vertical="center" wrapText="1"/>
      <protection/>
    </xf>
    <xf numFmtId="0" fontId="46" fillId="0" borderId="0" xfId="23" applyFont="1" applyAlignment="1">
      <alignment horizontal="justify" wrapText="1"/>
      <protection/>
    </xf>
    <xf numFmtId="0" fontId="50" fillId="0" borderId="0" xfId="23" applyAlignment="1">
      <alignment wrapText="1"/>
      <protection/>
    </xf>
    <xf numFmtId="0" fontId="46" fillId="0" borderId="0" xfId="23" applyFont="1" applyAlignment="1">
      <alignment horizontal="left"/>
      <protection/>
    </xf>
    <xf numFmtId="0" fontId="50" fillId="0" borderId="0" xfId="23" applyAlignment="1">
      <alignment horizontal="left"/>
      <protection/>
    </xf>
  </cellXfs>
  <cellStyles count="20">
    <cellStyle name="Normal" xfId="0"/>
    <cellStyle name="Comma" xfId="15"/>
    <cellStyle name="Comma [0]" xfId="16"/>
    <cellStyle name="Hyperlink" xfId="17"/>
    <cellStyle name="Followed Hyperlink" xfId="18"/>
    <cellStyle name="Normál_2003 kvPOHI" xfId="19"/>
    <cellStyle name="Normál_2003.évi kv" xfId="20"/>
    <cellStyle name="Normál_5.mell.2004.kv" xfId="21"/>
    <cellStyle name="Normál_eu,közvetett táblák" xfId="22"/>
    <cellStyle name="Normál_euközvetett táblák" xfId="23"/>
    <cellStyle name="Normál_KIAD_1.XLS" xfId="24"/>
    <cellStyle name="Normál_KIAD_1.XLS_1" xfId="25"/>
    <cellStyle name="Normál_KIAD_4F.XLS" xfId="26"/>
    <cellStyle name="Normál_KIAD_4F1" xfId="27"/>
    <cellStyle name="Normál_likviditás2001" xfId="28"/>
    <cellStyle name="Normál_Munkafüzet3" xfId="29"/>
    <cellStyle name="Normal_tanusitv" xfId="30"/>
    <cellStyle name="Currency" xfId="31"/>
    <cellStyle name="Currency [0]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externalLink" Target="externalLinks/externalLink1.xml" /><Relationship Id="rId50" Type="http://schemas.openxmlformats.org/officeDocument/2006/relationships/externalLink" Target="externalLinks/externalLink2.xml" /><Relationship Id="rId51" Type="http://schemas.openxmlformats.org/officeDocument/2006/relationships/externalLink" Target="externalLinks/externalLink3.xml" /><Relationship Id="rId5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ka_l\Dokumentumok\2007&#233;vik&#246;lts&#233;gvet&#233;s\2007%20k&#246;lts&#233;gvet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7%20k&#246;lts&#233;gvet&#233;s%20Eti&#2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7%20&#233;vi%20k&#246;lts&#233;gveti%20terv\2007.%20&#233;vi%20dologi%20int&#233;zm&#233;nyenk&#233;nt,%20kontirozva,%20k&#246;t-nem%20k&#246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ámú melléklet"/>
      <sheetName val="1a.számú melléklet "/>
      <sheetName val="1b.számú melléklet"/>
      <sheetName val="2.számú melléklet"/>
      <sheetName val="2a.számú melléklet"/>
      <sheetName val="2b.számú melléklet"/>
      <sheetName val="2c.számú melléklet"/>
      <sheetName val="3.számú melléklet"/>
      <sheetName val="Oktatási ágazat össz."/>
      <sheetName val="3a.számú melléklet"/>
      <sheetName val="3b.számú melléklet"/>
      <sheetName val="3c.számú melléklet"/>
      <sheetName val="3d.számú melléklet"/>
      <sheetName val="3e.számú melléklet"/>
      <sheetName val="3f.számú melléklet"/>
      <sheetName val="3g.számú melléklet"/>
      <sheetName val="3h.számú melléklet"/>
      <sheetName val="4.számú melléklet"/>
      <sheetName val="4a.számú melléklet"/>
      <sheetName val="4b.számú melléklet"/>
      <sheetName val="5.számú melléklet "/>
      <sheetName val="6b.számú melléklet(1)"/>
      <sheetName val="6b.számú melléklet(2)"/>
      <sheetName val="7.számú melléklet"/>
      <sheetName val="8.számú melléklet"/>
      <sheetName val="9a.számú melléklet (2)"/>
      <sheetName val="9b.számú melléklet"/>
      <sheetName val="10.számú melléklet"/>
      <sheetName val="11.számú melléklet"/>
      <sheetName val="12.számú melléklet"/>
      <sheetName val="13.számú melléklet"/>
      <sheetName val="14.számú melléklet"/>
      <sheetName val="15.sz.melléklet"/>
      <sheetName val="16.sz.melléklet"/>
      <sheetName val="17.sz.melléklet"/>
      <sheetName val="Kisegítő mg."/>
      <sheetName val="Mélyépitő ip."/>
      <sheetName val="Utak hidak feluj.felh."/>
      <sheetName val="Utak hidak dologi"/>
      <sheetName val="Polgárvédelem"/>
      <sheetName val="Város és község"/>
      <sheetName val="Magasépitő ip."/>
      <sheetName val="Állateü."/>
      <sheetName val="Csevak"/>
      <sheetName val="Saját vagy bérlelt"/>
      <sheetName val="Rendsz.szoc."/>
      <sheetName val="Rendsz.gyermekvéd."/>
      <sheetName val="Eseti p.szoc."/>
      <sheetName val="Eseti p.gyerm."/>
      <sheetName val="Egyéb szoc.szolg."/>
      <sheetName val="Önk.Ig. "/>
      <sheetName val="Önk.ig dologi 2007"/>
      <sheetName val="2a.számú melléklet (2)"/>
      <sheetName val="Bevétel"/>
      <sheetName val="Támogatások 2005tervezett"/>
      <sheetName val="Egyéb Sport"/>
      <sheetName val="normatív"/>
    </sheetNames>
    <sheetDataSet>
      <sheetData sheetId="7">
        <row r="34">
          <cell r="F34">
            <v>0</v>
          </cell>
        </row>
        <row r="35">
          <cell r="F35">
            <v>434802</v>
          </cell>
        </row>
        <row r="36">
          <cell r="F36">
            <v>4700</v>
          </cell>
        </row>
        <row r="37">
          <cell r="F37">
            <v>27065</v>
          </cell>
        </row>
        <row r="38">
          <cell r="F38">
            <v>358</v>
          </cell>
        </row>
        <row r="39">
          <cell r="F39">
            <v>76014</v>
          </cell>
        </row>
        <row r="40">
          <cell r="F40">
            <v>803064</v>
          </cell>
        </row>
        <row r="42">
          <cell r="F42">
            <v>258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9">
          <cell r="F49">
            <v>7439104</v>
          </cell>
        </row>
      </sheetData>
      <sheetData sheetId="17">
        <row r="56">
          <cell r="F56">
            <v>25500</v>
          </cell>
        </row>
        <row r="57">
          <cell r="F57">
            <v>114590</v>
          </cell>
        </row>
        <row r="58">
          <cell r="F58">
            <v>1537</v>
          </cell>
        </row>
        <row r="59">
          <cell r="F59">
            <v>355000</v>
          </cell>
        </row>
        <row r="60">
          <cell r="F60">
            <v>110605</v>
          </cell>
        </row>
        <row r="61">
          <cell r="F61">
            <v>5464408</v>
          </cell>
        </row>
        <row r="63">
          <cell r="F63">
            <v>0</v>
          </cell>
        </row>
        <row r="64">
          <cell r="F64">
            <v>636500</v>
          </cell>
        </row>
        <row r="65">
          <cell r="F65">
            <v>116969</v>
          </cell>
        </row>
        <row r="67">
          <cell r="F67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259276</v>
          </cell>
        </row>
        <row r="76">
          <cell r="F76">
            <v>22309</v>
          </cell>
        </row>
        <row r="77">
          <cell r="F77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számú melléklet"/>
      <sheetName val="1a.számú melléklet "/>
      <sheetName val="1b.számú melléklet"/>
      <sheetName val="2.számú melléklet"/>
      <sheetName val="2a.számú melléklet "/>
      <sheetName val="2b.számú melléklet"/>
      <sheetName val="2c.számú melléklet"/>
      <sheetName val="3.számú melléklet"/>
      <sheetName val="Oktatási ágazat össz."/>
      <sheetName val="3a.számú melléklet"/>
      <sheetName val="3b.számú melléklet"/>
      <sheetName val="3c.számú melléklet"/>
      <sheetName val="3d.számú melléklet"/>
      <sheetName val="3e.számú melléklet"/>
      <sheetName val="3f.számú melléklet"/>
      <sheetName val="3g.számú melléklet"/>
      <sheetName val="3h.számú melléklet"/>
      <sheetName val="4.számú melléklet"/>
      <sheetName val="4a.számú melléklet"/>
      <sheetName val="4b.számú melléklet"/>
      <sheetName val="5.számú melléklet "/>
      <sheetName val="6b.számú melléklet(1)"/>
      <sheetName val="6b.számú melléklet(2)"/>
      <sheetName val="7.számú melléklet"/>
      <sheetName val="8.számú melléklet"/>
      <sheetName val="9a.számú melléklet (2)"/>
      <sheetName val="9b.számú melléklet"/>
      <sheetName val="10.számú melléklet"/>
      <sheetName val="11.számú melléklet"/>
      <sheetName val="12.számú melléklet"/>
      <sheetName val="13.számú melléklet"/>
      <sheetName val="14.számú melléklet"/>
      <sheetName val="15.sz.melléklet"/>
      <sheetName val="16.sz.melléklet"/>
      <sheetName val="17.sz.melléklet"/>
      <sheetName val="Kisegítő mg."/>
      <sheetName val="Mélyépitő ip."/>
      <sheetName val="Utak hidak feluj.felh."/>
      <sheetName val="Utak hidak dologi"/>
      <sheetName val="Polgárvédelem"/>
      <sheetName val="Város és község"/>
      <sheetName val="Magasépitő ip."/>
      <sheetName val="Állateü."/>
      <sheetName val="Csevak"/>
      <sheetName val="Saját vagy bérlelt"/>
      <sheetName val="Rendsz.szoc."/>
      <sheetName val="Rendsz.gyermekvéd."/>
      <sheetName val="Eseti p.szoc."/>
      <sheetName val="Eseti p.gyerm."/>
      <sheetName val="Egyéb szoc.szolg."/>
      <sheetName val="Önk.Ig. "/>
      <sheetName val="Önk.ig dologi 2007"/>
      <sheetName val="2a.számú melléklet (2)"/>
      <sheetName val="Bevétel"/>
      <sheetName val="Támogatások 2005tervezett"/>
      <sheetName val="Egyéb Sport"/>
      <sheetName val="normatív"/>
    </sheetNames>
    <sheetDataSet>
      <sheetData sheetId="3">
        <row r="10">
          <cell r="F10">
            <v>455479</v>
          </cell>
        </row>
        <row r="11">
          <cell r="F11">
            <v>106920</v>
          </cell>
        </row>
        <row r="13">
          <cell r="F13">
            <v>348559</v>
          </cell>
        </row>
        <row r="14">
          <cell r="F14">
            <v>527056</v>
          </cell>
        </row>
        <row r="15">
          <cell r="F15">
            <v>29515</v>
          </cell>
        </row>
        <row r="17">
          <cell r="F17">
            <v>14000</v>
          </cell>
        </row>
        <row r="19">
          <cell r="F19">
            <v>0</v>
          </cell>
        </row>
        <row r="22">
          <cell r="F22">
            <v>89430</v>
          </cell>
        </row>
        <row r="23">
          <cell r="F23">
            <v>220052</v>
          </cell>
        </row>
        <row r="24">
          <cell r="F24">
            <v>0</v>
          </cell>
        </row>
        <row r="25">
          <cell r="F25">
            <v>151410</v>
          </cell>
        </row>
        <row r="26">
          <cell r="F26">
            <v>118446</v>
          </cell>
        </row>
        <row r="28">
          <cell r="F28">
            <v>32964</v>
          </cell>
        </row>
        <row r="30">
          <cell r="F30">
            <v>0</v>
          </cell>
        </row>
        <row r="31">
          <cell r="F31">
            <v>8125</v>
          </cell>
        </row>
        <row r="33">
          <cell r="F33">
            <v>2123250</v>
          </cell>
        </row>
        <row r="34">
          <cell r="F34">
            <v>62000</v>
          </cell>
        </row>
        <row r="39">
          <cell r="F39">
            <v>0</v>
          </cell>
        </row>
        <row r="40">
          <cell r="F40">
            <v>145064</v>
          </cell>
        </row>
        <row r="41">
          <cell r="F41">
            <v>0</v>
          </cell>
        </row>
        <row r="44">
          <cell r="F44">
            <v>7439104</v>
          </cell>
        </row>
        <row r="45">
          <cell r="F45">
            <v>-7439104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6.évi adat"/>
      <sheetName val="2007 évi terv dologi"/>
      <sheetName val="Megadott keretszámos"/>
      <sheetName val="2007 évi ei. egyszerűsitett"/>
    </sheetNames>
    <sheetDataSet>
      <sheetData sheetId="2">
        <row r="6">
          <cell r="BL6">
            <v>32008</v>
          </cell>
        </row>
        <row r="7">
          <cell r="BL7">
            <v>52285</v>
          </cell>
        </row>
        <row r="8">
          <cell r="BL8">
            <v>43564</v>
          </cell>
        </row>
        <row r="9">
          <cell r="BL9">
            <v>43272</v>
          </cell>
        </row>
        <row r="10">
          <cell r="BL10">
            <v>56829</v>
          </cell>
        </row>
        <row r="11">
          <cell r="BL11">
            <v>33782</v>
          </cell>
        </row>
        <row r="12">
          <cell r="BL12">
            <v>38249</v>
          </cell>
        </row>
        <row r="13">
          <cell r="BL13">
            <v>28066</v>
          </cell>
        </row>
        <row r="14">
          <cell r="BL14">
            <v>42561</v>
          </cell>
        </row>
        <row r="15">
          <cell r="BL15">
            <v>45725</v>
          </cell>
        </row>
        <row r="16">
          <cell r="BL16">
            <v>41160</v>
          </cell>
        </row>
        <row r="18">
          <cell r="BL18">
            <v>30017</v>
          </cell>
        </row>
        <row r="19">
          <cell r="BL19">
            <v>34164</v>
          </cell>
        </row>
        <row r="20">
          <cell r="BL20">
            <v>15069</v>
          </cell>
        </row>
        <row r="21">
          <cell r="BL21">
            <v>38456</v>
          </cell>
        </row>
        <row r="22">
          <cell r="BL22">
            <v>35</v>
          </cell>
        </row>
        <row r="23">
          <cell r="BL23">
            <v>33</v>
          </cell>
        </row>
        <row r="25">
          <cell r="BL25">
            <v>29160</v>
          </cell>
        </row>
        <row r="26">
          <cell r="BL26">
            <v>14507</v>
          </cell>
        </row>
        <row r="27">
          <cell r="BL27">
            <v>25007</v>
          </cell>
        </row>
        <row r="28">
          <cell r="BL28">
            <v>25004</v>
          </cell>
        </row>
        <row r="29">
          <cell r="BL29">
            <v>18286</v>
          </cell>
        </row>
        <row r="30">
          <cell r="BL30">
            <v>20359</v>
          </cell>
        </row>
        <row r="31">
          <cell r="BL31">
            <v>15505</v>
          </cell>
        </row>
        <row r="32">
          <cell r="BL32">
            <v>10575</v>
          </cell>
        </row>
        <row r="33">
          <cell r="BL33">
            <v>18332</v>
          </cell>
        </row>
        <row r="34">
          <cell r="BL34">
            <v>21604</v>
          </cell>
        </row>
        <row r="35">
          <cell r="BL35">
            <v>30154</v>
          </cell>
        </row>
        <row r="36">
          <cell r="BL36">
            <v>21814</v>
          </cell>
        </row>
        <row r="37">
          <cell r="BL37">
            <v>16597</v>
          </cell>
        </row>
        <row r="38">
          <cell r="BL38">
            <v>46533</v>
          </cell>
        </row>
        <row r="39">
          <cell r="BL39">
            <v>30274</v>
          </cell>
        </row>
        <row r="40">
          <cell r="BL40">
            <v>17253</v>
          </cell>
        </row>
        <row r="42">
          <cell r="BL42">
            <v>68173</v>
          </cell>
        </row>
        <row r="43">
          <cell r="BL43">
            <v>11941</v>
          </cell>
        </row>
        <row r="45">
          <cell r="BL45">
            <v>7993</v>
          </cell>
        </row>
        <row r="46">
          <cell r="BL46">
            <v>3592</v>
          </cell>
        </row>
        <row r="47">
          <cell r="BL47">
            <v>5036</v>
          </cell>
        </row>
        <row r="50">
          <cell r="BL50">
            <v>35262</v>
          </cell>
        </row>
        <row r="60">
          <cell r="BL60">
            <v>124750</v>
          </cell>
        </row>
        <row r="61">
          <cell r="BL61">
            <v>2719</v>
          </cell>
        </row>
        <row r="62">
          <cell r="BL62">
            <v>12761</v>
          </cell>
        </row>
        <row r="67">
          <cell r="BL67">
            <v>20344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5"/>
  <sheetViews>
    <sheetView tabSelected="1" workbookViewId="0" topLeftCell="A1">
      <selection activeCell="E69" sqref="E69"/>
    </sheetView>
  </sheetViews>
  <sheetFormatPr defaultColWidth="9.140625" defaultRowHeight="12.75"/>
  <cols>
    <col min="1" max="1" width="4.57421875" style="41" customWidth="1"/>
    <col min="2" max="2" width="37.421875" style="40" customWidth="1"/>
    <col min="3" max="3" width="10.140625" style="1119" customWidth="1"/>
    <col min="4" max="4" width="10.00390625" style="27" customWidth="1"/>
    <col min="5" max="5" width="10.140625" style="27" customWidth="1"/>
    <col min="6" max="6" width="10.00390625" style="1136" customWidth="1"/>
    <col min="7" max="7" width="9.140625" style="134" customWidth="1"/>
    <col min="8" max="16384" width="9.140625" style="51" customWidth="1"/>
  </cols>
  <sheetData>
    <row r="2" spans="1:8" ht="15.75">
      <c r="A2" s="26" t="s">
        <v>426</v>
      </c>
      <c r="B2" s="689"/>
      <c r="C2" s="1118"/>
      <c r="D2" s="659"/>
      <c r="E2" s="659"/>
      <c r="F2" s="1135"/>
      <c r="G2" s="691"/>
      <c r="H2" s="692"/>
    </row>
    <row r="3" spans="1:8" ht="15.75">
      <c r="A3" s="26" t="s">
        <v>252</v>
      </c>
      <c r="B3" s="689"/>
      <c r="C3" s="1118"/>
      <c r="D3" s="659"/>
      <c r="E3" s="659"/>
      <c r="F3" s="1135"/>
      <c r="G3" s="691"/>
      <c r="H3" s="692"/>
    </row>
    <row r="4" ht="12.75">
      <c r="A4" s="43"/>
    </row>
    <row r="5" ht="12.75">
      <c r="A5" s="43"/>
    </row>
    <row r="6" ht="12.75">
      <c r="A6" s="43"/>
    </row>
    <row r="7" ht="12" customHeight="1">
      <c r="H7" s="41" t="s">
        <v>128</v>
      </c>
    </row>
    <row r="8" spans="1:8" s="693" customFormat="1" ht="36.75" customHeight="1">
      <c r="A8" s="656" t="s">
        <v>169</v>
      </c>
      <c r="B8" s="656" t="s">
        <v>129</v>
      </c>
      <c r="C8" s="888" t="s">
        <v>247</v>
      </c>
      <c r="D8" s="656" t="s">
        <v>911</v>
      </c>
      <c r="E8" s="647" t="s">
        <v>248</v>
      </c>
      <c r="F8" s="988" t="s">
        <v>249</v>
      </c>
      <c r="G8" s="647" t="s">
        <v>254</v>
      </c>
      <c r="H8" s="647" t="s">
        <v>255</v>
      </c>
    </row>
    <row r="9" spans="1:8" ht="9.75" customHeight="1">
      <c r="A9" s="31" t="s">
        <v>524</v>
      </c>
      <c r="B9" s="32" t="s">
        <v>525</v>
      </c>
      <c r="C9" s="1120" t="s">
        <v>526</v>
      </c>
      <c r="D9" s="32" t="s">
        <v>729</v>
      </c>
      <c r="E9" s="32" t="s">
        <v>730</v>
      </c>
      <c r="F9" s="1137" t="s">
        <v>731</v>
      </c>
      <c r="G9" s="652" t="s">
        <v>250</v>
      </c>
      <c r="H9" s="652" t="s">
        <v>251</v>
      </c>
    </row>
    <row r="10" spans="1:8" ht="12.75" customHeight="1">
      <c r="A10" s="42" t="s">
        <v>524</v>
      </c>
      <c r="B10" s="38" t="s">
        <v>400</v>
      </c>
      <c r="C10" s="65">
        <f>SUM('3.számú melléklet'!C34+'4.számú melléklet'!C57)</f>
        <v>26092</v>
      </c>
      <c r="D10" s="65">
        <f>SUM('3.számú melléklet'!D34+'4.számú melléklet'!D57)</f>
        <v>22000</v>
      </c>
      <c r="E10" s="65">
        <f>SUM('3.számú melléklet'!E34+'4.számú melléklet'!E57)</f>
        <v>33159</v>
      </c>
      <c r="F10" s="511">
        <f>SUM('3.számú melléklet'!F34+'4.számú melléklet'!F57)</f>
        <v>25500</v>
      </c>
      <c r="G10" s="107">
        <f>IF(D10=0,0,F10/D10)</f>
        <v>1.1590909090909092</v>
      </c>
      <c r="H10" s="107">
        <f>IF(E10=0,0,F10/E10)</f>
        <v>0.769021984981453</v>
      </c>
    </row>
    <row r="11" spans="1:8" s="378" customFormat="1" ht="25.5" customHeight="1">
      <c r="A11" s="471" t="s">
        <v>525</v>
      </c>
      <c r="B11" s="472" t="s">
        <v>791</v>
      </c>
      <c r="C11" s="473">
        <f>SUM('3.számú melléklet'!C35+'4.számú melléklet'!C58)</f>
        <v>569955</v>
      </c>
      <c r="D11" s="473">
        <f>SUM('3.számú melléklet'!D35+'4.számú melléklet'!D58)</f>
        <v>496863</v>
      </c>
      <c r="E11" s="473">
        <f>SUM('3.számú melléklet'!E35+'4.számú melléklet'!E58)</f>
        <v>584322</v>
      </c>
      <c r="F11" s="1138">
        <f>SUM('3.számú melléklet'!F35+'4.számú melléklet'!F58)</f>
        <v>549392</v>
      </c>
      <c r="G11" s="474">
        <f aca="true" t="shared" si="0" ref="G11:G45">IF(D11=0,0,F11/D11)</f>
        <v>1.1057212954073858</v>
      </c>
      <c r="H11" s="474">
        <f aca="true" t="shared" si="1" ref="H11:H45">IF(E11=0,0,F11/E11)</f>
        <v>0.9402213163290104</v>
      </c>
    </row>
    <row r="12" spans="1:8" s="378" customFormat="1" ht="12" customHeight="1">
      <c r="A12" s="475"/>
      <c r="B12" s="476" t="s">
        <v>396</v>
      </c>
      <c r="C12" s="395">
        <f>SUM('3.számú melléklet'!C36)</f>
        <v>3331</v>
      </c>
      <c r="D12" s="395">
        <f>SUM('3.számú melléklet'!D36)</f>
        <v>3530</v>
      </c>
      <c r="E12" s="395">
        <f>SUM('3.számú melléklet'!E36)</f>
        <v>4651</v>
      </c>
      <c r="F12" s="1139">
        <f>SUM('3.számú melléklet'!F36)</f>
        <v>4700</v>
      </c>
      <c r="G12" s="477">
        <f>IF(D12=0,0,F12/D12)</f>
        <v>1.3314447592067988</v>
      </c>
      <c r="H12" s="477">
        <f>IF(E12=0,0,F12/E12)</f>
        <v>1.0105353687379057</v>
      </c>
    </row>
    <row r="13" spans="1:8" ht="12.75">
      <c r="A13" s="42" t="s">
        <v>526</v>
      </c>
      <c r="B13" s="333" t="s">
        <v>726</v>
      </c>
      <c r="C13" s="65">
        <f>SUM('3.számú melléklet'!C37+'4.számú melléklet'!C59)</f>
        <v>25159</v>
      </c>
      <c r="D13" s="65">
        <f>SUM('3.számú melléklet'!D37+'4.számú melléklet'!D59)</f>
        <v>25323</v>
      </c>
      <c r="E13" s="65">
        <f>SUM('3.számú melléklet'!E37+'4.számú melléklet'!E59)</f>
        <v>29399</v>
      </c>
      <c r="F13" s="511">
        <f>SUM('3.számú melléklet'!F37+'4.számú melléklet'!F59)</f>
        <v>28602</v>
      </c>
      <c r="G13" s="107">
        <f>IF(D13=0,0,F13/D13)</f>
        <v>1.1294870276033646</v>
      </c>
      <c r="H13" s="107">
        <f>IF(E13=0,0,F13/E13)</f>
        <v>0.972890234361713</v>
      </c>
    </row>
    <row r="14" spans="1:8" ht="12.75">
      <c r="A14" s="42" t="s">
        <v>729</v>
      </c>
      <c r="B14" s="38" t="s">
        <v>804</v>
      </c>
      <c r="C14" s="65">
        <f>SUM('3.számú melléklet'!C38+'4.számú melléklet'!C60)</f>
        <v>42132</v>
      </c>
      <c r="D14" s="65">
        <f>SUM('3.számú melléklet'!D38+'4.számú melléklet'!D60)</f>
        <v>550588</v>
      </c>
      <c r="E14" s="65">
        <f>SUM('3.számú melléklet'!E38+'4.számú melléklet'!E60)</f>
        <v>567291</v>
      </c>
      <c r="F14" s="511">
        <f>SUM('3.számú melléklet'!F38+'4.számú melléklet'!F60)</f>
        <v>355358</v>
      </c>
      <c r="G14" s="107">
        <f t="shared" si="0"/>
        <v>0.645415446758738</v>
      </c>
      <c r="H14" s="107">
        <f t="shared" si="1"/>
        <v>0.626412194094389</v>
      </c>
    </row>
    <row r="15" spans="1:8" ht="12.75">
      <c r="A15" s="42" t="s">
        <v>730</v>
      </c>
      <c r="B15" s="38" t="s">
        <v>553</v>
      </c>
      <c r="C15" s="65">
        <f>SUM('3.számú melléklet'!C39+'4.számú melléklet'!C61)</f>
        <v>2537813</v>
      </c>
      <c r="D15" s="65">
        <f>SUM('3.számú melléklet'!D39+'4.számú melléklet'!D61)</f>
        <v>285415</v>
      </c>
      <c r="E15" s="65">
        <f>SUM('3.számú melléklet'!E39+'4.számú melléklet'!E61)</f>
        <v>189448</v>
      </c>
      <c r="F15" s="511">
        <f>SUM('3.számú melléklet'!F39+'4.számú melléklet'!F61)</f>
        <v>186619</v>
      </c>
      <c r="G15" s="107">
        <f t="shared" si="0"/>
        <v>0.6538514093512955</v>
      </c>
      <c r="H15" s="107">
        <f t="shared" si="1"/>
        <v>0.9850671424348634</v>
      </c>
    </row>
    <row r="16" spans="1:8" s="2" customFormat="1" ht="13.5">
      <c r="A16" s="113" t="s">
        <v>805</v>
      </c>
      <c r="B16" s="114" t="s">
        <v>790</v>
      </c>
      <c r="C16" s="68">
        <f>SUM(C10:C15)-C12</f>
        <v>3201151</v>
      </c>
      <c r="D16" s="68">
        <f>SUM(D10:D15)-D12</f>
        <v>1380189</v>
      </c>
      <c r="E16" s="68">
        <f>SUM(E10:E15)-E12</f>
        <v>1403619</v>
      </c>
      <c r="F16" s="512">
        <f>SUM(F10:F15)-F12</f>
        <v>1145471</v>
      </c>
      <c r="G16" s="115">
        <f t="shared" si="0"/>
        <v>0.8299377838832218</v>
      </c>
      <c r="H16" s="115">
        <f t="shared" si="1"/>
        <v>0.8160839943032974</v>
      </c>
    </row>
    <row r="17" spans="1:8" ht="12.75">
      <c r="A17" s="42" t="s">
        <v>731</v>
      </c>
      <c r="B17" s="38" t="s">
        <v>391</v>
      </c>
      <c r="C17" s="196">
        <v>603025</v>
      </c>
      <c r="D17" s="65">
        <v>540000</v>
      </c>
      <c r="E17" s="65">
        <v>626611</v>
      </c>
      <c r="F17" s="511">
        <v>850000</v>
      </c>
      <c r="G17" s="107">
        <f t="shared" si="0"/>
        <v>1.5740740740740742</v>
      </c>
      <c r="H17" s="107">
        <f t="shared" si="1"/>
        <v>1.3565034766386164</v>
      </c>
    </row>
    <row r="18" spans="1:8" ht="12.75">
      <c r="A18" s="42" t="s">
        <v>732</v>
      </c>
      <c r="B18" s="38" t="s">
        <v>806</v>
      </c>
      <c r="C18" s="196">
        <v>3340743</v>
      </c>
      <c r="D18" s="65">
        <v>3931008</v>
      </c>
      <c r="E18" s="65">
        <v>4190219</v>
      </c>
      <c r="F18" s="511">
        <v>4611371</v>
      </c>
      <c r="G18" s="107">
        <f t="shared" si="0"/>
        <v>1.1730759642310573</v>
      </c>
      <c r="H18" s="107">
        <f t="shared" si="1"/>
        <v>1.100508350518195</v>
      </c>
    </row>
    <row r="19" spans="1:8" ht="12.75">
      <c r="A19" s="42" t="s">
        <v>733</v>
      </c>
      <c r="B19" s="38" t="s">
        <v>438</v>
      </c>
      <c r="C19" s="196">
        <v>0</v>
      </c>
      <c r="D19" s="391">
        <v>0</v>
      </c>
      <c r="E19" s="391">
        <v>2578</v>
      </c>
      <c r="F19" s="511">
        <v>3037</v>
      </c>
      <c r="G19" s="107">
        <f>IF(D19=0,0,F19/D19)</f>
        <v>0</v>
      </c>
      <c r="H19" s="107">
        <f>IF(E19=0,0,F19/E19)</f>
        <v>1.178044996121024</v>
      </c>
    </row>
    <row r="20" spans="1:8" s="2" customFormat="1" ht="13.5">
      <c r="A20" s="113" t="s">
        <v>807</v>
      </c>
      <c r="B20" s="114" t="s">
        <v>772</v>
      </c>
      <c r="C20" s="68">
        <f>SUM('4.számú melléklet'!C62)</f>
        <v>3943768</v>
      </c>
      <c r="D20" s="68">
        <f>SUM('4.számú melléklet'!D62)</f>
        <v>4471008</v>
      </c>
      <c r="E20" s="68">
        <f>SUM('4.számú melléklet'!E62)</f>
        <v>4819408</v>
      </c>
      <c r="F20" s="512">
        <f>SUM('4.számú melléklet'!F62)</f>
        <v>5464408</v>
      </c>
      <c r="G20" s="115">
        <f t="shared" si="0"/>
        <v>1.2221870325438917</v>
      </c>
      <c r="H20" s="115">
        <f t="shared" si="1"/>
        <v>1.1338338650722246</v>
      </c>
    </row>
    <row r="21" spans="1:8" ht="12.75">
      <c r="A21" s="42" t="s">
        <v>734</v>
      </c>
      <c r="B21" s="38" t="s">
        <v>808</v>
      </c>
      <c r="C21" s="196">
        <v>750379</v>
      </c>
      <c r="D21" s="391">
        <v>715750</v>
      </c>
      <c r="E21" s="391">
        <v>747433</v>
      </c>
      <c r="F21" s="511">
        <v>934842</v>
      </c>
      <c r="G21" s="107">
        <f t="shared" si="0"/>
        <v>1.3061012923506812</v>
      </c>
      <c r="H21" s="107">
        <f t="shared" si="1"/>
        <v>1.2507368553435558</v>
      </c>
    </row>
    <row r="22" spans="1:8" ht="12.75">
      <c r="A22" s="42" t="s">
        <v>735</v>
      </c>
      <c r="B22" s="38" t="s">
        <v>92</v>
      </c>
      <c r="C22" s="196">
        <v>442261</v>
      </c>
      <c r="D22" s="391">
        <v>475935</v>
      </c>
      <c r="E22" s="391">
        <v>420542</v>
      </c>
      <c r="F22" s="511">
        <v>406447</v>
      </c>
      <c r="G22" s="107">
        <f t="shared" si="0"/>
        <v>0.8539968693203904</v>
      </c>
      <c r="H22" s="107">
        <f t="shared" si="1"/>
        <v>0.9664837281413033</v>
      </c>
    </row>
    <row r="23" spans="1:8" ht="12.75">
      <c r="A23" s="42" t="s">
        <v>736</v>
      </c>
      <c r="B23" s="38" t="s">
        <v>809</v>
      </c>
      <c r="C23" s="196">
        <v>357960</v>
      </c>
      <c r="D23" s="391">
        <v>360000</v>
      </c>
      <c r="E23" s="391">
        <v>379249</v>
      </c>
      <c r="F23" s="511">
        <v>400000</v>
      </c>
      <c r="G23" s="107">
        <f t="shared" si="0"/>
        <v>1.1111111111111112</v>
      </c>
      <c r="H23" s="107">
        <f t="shared" si="1"/>
        <v>1.0547160308926324</v>
      </c>
    </row>
    <row r="24" spans="1:8" s="2" customFormat="1" ht="13.5">
      <c r="A24" s="113" t="s">
        <v>810</v>
      </c>
      <c r="B24" s="114" t="s">
        <v>773</v>
      </c>
      <c r="C24" s="68">
        <f>SUM('4.számú melléklet'!C63)</f>
        <v>1550600</v>
      </c>
      <c r="D24" s="68">
        <f>SUM('4.számú melléklet'!D63)</f>
        <v>1551685</v>
      </c>
      <c r="E24" s="68">
        <f>SUM('4.számú melléklet'!E63)</f>
        <v>1547224</v>
      </c>
      <c r="F24" s="512">
        <f>SUM('4.számú melléklet'!F63)</f>
        <v>1741289</v>
      </c>
      <c r="G24" s="115">
        <f t="shared" si="0"/>
        <v>1.1221923264064548</v>
      </c>
      <c r="H24" s="115">
        <f t="shared" si="1"/>
        <v>1.1254278630631376</v>
      </c>
    </row>
    <row r="25" spans="1:8" s="369" customFormat="1" ht="27">
      <c r="A25" s="117" t="s">
        <v>326</v>
      </c>
      <c r="B25" s="367" t="s">
        <v>512</v>
      </c>
      <c r="C25" s="25">
        <f>SUM('4.számú melléklet'!C64)</f>
        <v>27449</v>
      </c>
      <c r="D25" s="25">
        <f>SUM('4.számú melléklet'!D64)</f>
        <v>5000</v>
      </c>
      <c r="E25" s="25">
        <f>SUM('4.számú melléklet'!E64)</f>
        <v>27639</v>
      </c>
      <c r="F25" s="513">
        <f>SUM('4.számú melléklet'!F64)</f>
        <v>0</v>
      </c>
      <c r="G25" s="368">
        <f t="shared" si="0"/>
        <v>0</v>
      </c>
      <c r="H25" s="368">
        <f>IF(E25=0,0,F25/E25)</f>
        <v>0</v>
      </c>
    </row>
    <row r="26" spans="1:8" ht="12.75">
      <c r="A26" s="42" t="s">
        <v>737</v>
      </c>
      <c r="B26" s="38" t="s">
        <v>168</v>
      </c>
      <c r="C26" s="196">
        <v>226325</v>
      </c>
      <c r="D26" s="391">
        <v>201000</v>
      </c>
      <c r="E26" s="391">
        <v>220436</v>
      </c>
      <c r="F26" s="511">
        <v>222900</v>
      </c>
      <c r="G26" s="107">
        <f t="shared" si="0"/>
        <v>1.108955223880597</v>
      </c>
      <c r="H26" s="107">
        <f t="shared" si="1"/>
        <v>1.0111778475385145</v>
      </c>
    </row>
    <row r="27" spans="1:8" ht="12.75">
      <c r="A27" s="42" t="s">
        <v>738</v>
      </c>
      <c r="B27" s="38" t="s">
        <v>387</v>
      </c>
      <c r="C27" s="196">
        <v>54135</v>
      </c>
      <c r="D27" s="391">
        <v>60001</v>
      </c>
      <c r="E27" s="391">
        <v>58865</v>
      </c>
      <c r="F27" s="511">
        <v>62600</v>
      </c>
      <c r="G27" s="107">
        <f t="shared" si="0"/>
        <v>1.0433159447342544</v>
      </c>
      <c r="H27" s="107">
        <f t="shared" si="1"/>
        <v>1.0634502675613693</v>
      </c>
    </row>
    <row r="28" spans="1:8" ht="12.75">
      <c r="A28" s="42" t="s">
        <v>811</v>
      </c>
      <c r="B28" s="38" t="s">
        <v>701</v>
      </c>
      <c r="C28" s="196">
        <v>293783</v>
      </c>
      <c r="D28" s="391">
        <v>298837</v>
      </c>
      <c r="E28" s="391">
        <v>296156</v>
      </c>
      <c r="F28" s="511">
        <v>311000</v>
      </c>
      <c r="G28" s="107">
        <f t="shared" si="0"/>
        <v>1.040701118000783</v>
      </c>
      <c r="H28" s="107">
        <f t="shared" si="1"/>
        <v>1.0501222328772675</v>
      </c>
    </row>
    <row r="29" spans="1:8" ht="12.75">
      <c r="A29" s="42" t="s">
        <v>812</v>
      </c>
      <c r="B29" s="38" t="s">
        <v>324</v>
      </c>
      <c r="C29" s="196">
        <v>33173</v>
      </c>
      <c r="D29" s="391">
        <v>32108</v>
      </c>
      <c r="E29" s="391">
        <v>31707</v>
      </c>
      <c r="F29" s="511">
        <v>40000</v>
      </c>
      <c r="G29" s="107">
        <f t="shared" si="0"/>
        <v>1.2457954403886882</v>
      </c>
      <c r="H29" s="107">
        <f t="shared" si="1"/>
        <v>1.261551077049232</v>
      </c>
    </row>
    <row r="30" spans="1:8" ht="12.75">
      <c r="A30" s="42" t="s">
        <v>325</v>
      </c>
      <c r="B30" s="38" t="s">
        <v>91</v>
      </c>
      <c r="C30" s="196">
        <v>54</v>
      </c>
      <c r="D30" s="391">
        <v>0</v>
      </c>
      <c r="E30" s="391">
        <v>20</v>
      </c>
      <c r="F30" s="511">
        <v>0</v>
      </c>
      <c r="G30" s="107">
        <f t="shared" si="0"/>
        <v>0</v>
      </c>
      <c r="H30" s="107">
        <f t="shared" si="1"/>
        <v>0</v>
      </c>
    </row>
    <row r="31" spans="1:8" ht="12.75">
      <c r="A31" s="42" t="s">
        <v>329</v>
      </c>
      <c r="B31" s="38" t="s">
        <v>314</v>
      </c>
      <c r="C31" s="196">
        <v>0</v>
      </c>
      <c r="D31" s="391">
        <v>8000</v>
      </c>
      <c r="E31" s="391">
        <v>4083</v>
      </c>
      <c r="F31" s="511">
        <v>0</v>
      </c>
      <c r="G31" s="107">
        <f t="shared" si="0"/>
        <v>0</v>
      </c>
      <c r="H31" s="107">
        <f t="shared" si="1"/>
        <v>0</v>
      </c>
    </row>
    <row r="32" spans="1:8" s="2" customFormat="1" ht="12.75" customHeight="1">
      <c r="A32" s="113" t="s">
        <v>328</v>
      </c>
      <c r="B32" s="114" t="s">
        <v>440</v>
      </c>
      <c r="C32" s="68">
        <f>SUM('4.számú melléklet'!C65)</f>
        <v>607470</v>
      </c>
      <c r="D32" s="68">
        <f>SUM('4.számú melléklet'!D65)</f>
        <v>599946</v>
      </c>
      <c r="E32" s="68">
        <f>SUM('4.számú melléklet'!E65)</f>
        <v>611267</v>
      </c>
      <c r="F32" s="512">
        <f>SUM('4.számú melléklet'!F65)</f>
        <v>636500</v>
      </c>
      <c r="G32" s="115">
        <f t="shared" si="0"/>
        <v>1.0609288169268567</v>
      </c>
      <c r="H32" s="115">
        <f t="shared" si="1"/>
        <v>1.0412798335261024</v>
      </c>
    </row>
    <row r="33" spans="1:8" s="369" customFormat="1" ht="25.5" customHeight="1">
      <c r="A33" s="117" t="s">
        <v>327</v>
      </c>
      <c r="B33" s="367" t="s">
        <v>536</v>
      </c>
      <c r="C33" s="25">
        <f>SUM(C20,C24,C32,C25)</f>
        <v>6129287</v>
      </c>
      <c r="D33" s="25">
        <f>SUM(D20,D24,D32,D25)</f>
        <v>6627639</v>
      </c>
      <c r="E33" s="25">
        <f>SUM(E20,E24,E32,E25)</f>
        <v>7005538</v>
      </c>
      <c r="F33" s="513">
        <f>SUM(F20,F24,F32,F25)</f>
        <v>7842197</v>
      </c>
      <c r="G33" s="368">
        <f t="shared" si="0"/>
        <v>1.1832565111044824</v>
      </c>
      <c r="H33" s="368">
        <f t="shared" si="1"/>
        <v>1.1194282294950082</v>
      </c>
    </row>
    <row r="34" spans="1:8" s="187" customFormat="1" ht="25.5">
      <c r="A34" s="55" t="s">
        <v>333</v>
      </c>
      <c r="B34" s="370" t="s">
        <v>347</v>
      </c>
      <c r="C34" s="1091">
        <v>9448857</v>
      </c>
      <c r="D34" s="442">
        <v>686597</v>
      </c>
      <c r="E34" s="442">
        <v>83644</v>
      </c>
      <c r="F34" s="442">
        <v>12276</v>
      </c>
      <c r="G34" s="372">
        <f t="shared" si="0"/>
        <v>0.017879483889384894</v>
      </c>
      <c r="H34" s="372">
        <f t="shared" si="1"/>
        <v>0.14676486059968438</v>
      </c>
    </row>
    <row r="35" spans="1:8" ht="12.75">
      <c r="A35" s="42" t="s">
        <v>331</v>
      </c>
      <c r="B35" s="38" t="s">
        <v>330</v>
      </c>
      <c r="C35" s="196">
        <v>365029</v>
      </c>
      <c r="D35" s="391">
        <v>200000</v>
      </c>
      <c r="E35" s="391">
        <v>392364</v>
      </c>
      <c r="F35" s="511">
        <v>247000</v>
      </c>
      <c r="G35" s="107">
        <f t="shared" si="0"/>
        <v>1.235</v>
      </c>
      <c r="H35" s="107">
        <f t="shared" si="1"/>
        <v>0.6295174888623829</v>
      </c>
    </row>
    <row r="36" spans="1:8" ht="12.75">
      <c r="A36" s="42" t="s">
        <v>332</v>
      </c>
      <c r="B36" s="38" t="s">
        <v>698</v>
      </c>
      <c r="C36" s="196">
        <v>31960</v>
      </c>
      <c r="D36" s="391">
        <v>0</v>
      </c>
      <c r="E36" s="391">
        <v>28576</v>
      </c>
      <c r="F36" s="511">
        <v>0</v>
      </c>
      <c r="G36" s="107">
        <f>IF(D36=0,0,F36/D36)</f>
        <v>0</v>
      </c>
      <c r="H36" s="107">
        <f>IF(E36=0,0,F36/E36)</f>
        <v>0</v>
      </c>
    </row>
    <row r="37" spans="1:8" s="369" customFormat="1" ht="27">
      <c r="A37" s="117" t="s">
        <v>337</v>
      </c>
      <c r="B37" s="367" t="s">
        <v>439</v>
      </c>
      <c r="C37" s="25">
        <f>SUM(C35:C36)</f>
        <v>396989</v>
      </c>
      <c r="D37" s="25">
        <f>SUM(D35:D36)</f>
        <v>200000</v>
      </c>
      <c r="E37" s="25">
        <f>SUM(E35:E36)</f>
        <v>420940</v>
      </c>
      <c r="F37" s="513">
        <f>SUM(F35:F36)</f>
        <v>247000</v>
      </c>
      <c r="G37" s="368">
        <f t="shared" si="0"/>
        <v>1.235</v>
      </c>
      <c r="H37" s="368">
        <f t="shared" si="1"/>
        <v>0.586781964175417</v>
      </c>
    </row>
    <row r="38" spans="1:8" s="2" customFormat="1" ht="13.5">
      <c r="A38" s="113" t="s">
        <v>542</v>
      </c>
      <c r="B38" s="114" t="s">
        <v>792</v>
      </c>
      <c r="C38" s="331">
        <v>0</v>
      </c>
      <c r="D38" s="25">
        <v>0</v>
      </c>
      <c r="E38" s="68">
        <v>0</v>
      </c>
      <c r="F38" s="512">
        <v>0</v>
      </c>
      <c r="G38" s="115">
        <f t="shared" si="0"/>
        <v>0</v>
      </c>
      <c r="H38" s="115">
        <f t="shared" si="1"/>
        <v>0</v>
      </c>
    </row>
    <row r="39" spans="1:8" s="369" customFormat="1" ht="25.5" customHeight="1">
      <c r="A39" s="117" t="s">
        <v>338</v>
      </c>
      <c r="B39" s="367" t="s">
        <v>543</v>
      </c>
      <c r="C39" s="25">
        <f>SUM('3.számú melléklet'!C46+'4.számú melléklet'!C74)</f>
        <v>9845846</v>
      </c>
      <c r="D39" s="25">
        <f>SUM('3.számú melléklet'!D46+'4.számú melléklet'!D74)</f>
        <v>886597</v>
      </c>
      <c r="E39" s="25">
        <f>SUM('3.számú melléklet'!E46+'4.számú melléklet'!E74)</f>
        <v>504584</v>
      </c>
      <c r="F39" s="513">
        <f>SUM('3.számú melléklet'!F46+'4.számú melléklet'!F74)</f>
        <v>259276</v>
      </c>
      <c r="G39" s="368">
        <f t="shared" si="0"/>
        <v>0.2924395187441419</v>
      </c>
      <c r="H39" s="368">
        <f t="shared" si="1"/>
        <v>0.513841104751637</v>
      </c>
    </row>
    <row r="40" spans="1:8" ht="12.75">
      <c r="A40" s="42" t="s">
        <v>334</v>
      </c>
      <c r="B40" s="38" t="s">
        <v>513</v>
      </c>
      <c r="C40" s="196">
        <v>2922950</v>
      </c>
      <c r="D40" s="391">
        <v>2691854</v>
      </c>
      <c r="E40" s="391">
        <v>2685125</v>
      </c>
      <c r="F40" s="511">
        <v>2545676</v>
      </c>
      <c r="G40" s="107">
        <f t="shared" si="0"/>
        <v>0.9456961633134635</v>
      </c>
      <c r="H40" s="107">
        <f t="shared" si="1"/>
        <v>0.948066104929938</v>
      </c>
    </row>
    <row r="41" spans="1:8" s="378" customFormat="1" ht="25.5">
      <c r="A41" s="56" t="s">
        <v>335</v>
      </c>
      <c r="B41" s="374" t="s">
        <v>678</v>
      </c>
      <c r="C41" s="375">
        <v>383024</v>
      </c>
      <c r="D41" s="459">
        <v>256801</v>
      </c>
      <c r="E41" s="459">
        <v>278754</v>
      </c>
      <c r="F41" s="442">
        <v>134565</v>
      </c>
      <c r="G41" s="376">
        <f>IF(D41=0,0,F41/D41)</f>
        <v>0.524004968828003</v>
      </c>
      <c r="H41" s="376">
        <f>IF(E41=0,0,F41/E41)</f>
        <v>0.48273746744441337</v>
      </c>
    </row>
    <row r="42" spans="1:8" s="378" customFormat="1" ht="25.5">
      <c r="A42" s="56" t="s">
        <v>336</v>
      </c>
      <c r="B42" s="374" t="s">
        <v>938</v>
      </c>
      <c r="C42" s="375">
        <v>159968</v>
      </c>
      <c r="D42" s="459">
        <v>130554</v>
      </c>
      <c r="E42" s="459">
        <v>130554</v>
      </c>
      <c r="F42" s="442">
        <v>116752</v>
      </c>
      <c r="G42" s="376">
        <f>IF(D42=0,0,F42/D42)</f>
        <v>0.8942812935643488</v>
      </c>
      <c r="H42" s="376">
        <f>IF(E42=0,0,F42/E42)</f>
        <v>0.8942812935643488</v>
      </c>
    </row>
    <row r="43" spans="1:8" ht="12.75">
      <c r="A43" s="42" t="s">
        <v>339</v>
      </c>
      <c r="B43" s="151" t="s">
        <v>616</v>
      </c>
      <c r="C43" s="942">
        <v>180343</v>
      </c>
      <c r="D43" s="391">
        <v>5120</v>
      </c>
      <c r="E43" s="391">
        <v>71859</v>
      </c>
      <c r="F43" s="511">
        <v>4480</v>
      </c>
      <c r="G43" s="107">
        <f>IF(D43=0,0,F43/D43)</f>
        <v>0.875</v>
      </c>
      <c r="H43" s="107">
        <f>IF(E43=0,0,F43/E43)</f>
        <v>0.06234431316884454</v>
      </c>
    </row>
    <row r="44" spans="1:8" ht="12.75" customHeight="1">
      <c r="A44" s="42" t="s">
        <v>599</v>
      </c>
      <c r="B44" s="38" t="s">
        <v>949</v>
      </c>
      <c r="C44" s="196">
        <v>0</v>
      </c>
      <c r="D44" s="391">
        <v>0</v>
      </c>
      <c r="E44" s="391">
        <v>139304</v>
      </c>
      <c r="F44" s="511">
        <v>0</v>
      </c>
      <c r="G44" s="107">
        <f t="shared" si="0"/>
        <v>0</v>
      </c>
      <c r="H44" s="107">
        <f>IF(E44=0,0,F44/E44)</f>
        <v>0</v>
      </c>
    </row>
    <row r="45" spans="1:8" s="2" customFormat="1" ht="12.75" customHeight="1">
      <c r="A45" s="113" t="s">
        <v>601</v>
      </c>
      <c r="B45" s="114" t="s">
        <v>441</v>
      </c>
      <c r="C45" s="68">
        <f>SUM('4.számú melléklet'!C69,'4.számú melléklet'!C75)</f>
        <v>3646285</v>
      </c>
      <c r="D45" s="68">
        <f>SUM('4.számú melléklet'!D69,'4.számú melléklet'!D75)</f>
        <v>3084329</v>
      </c>
      <c r="E45" s="68">
        <f>SUM('4.számú melléklet'!E69,'4.számú melléklet'!E75)</f>
        <v>3305596</v>
      </c>
      <c r="F45" s="512">
        <f>SUM('4.számú melléklet'!F69,'4.számú melléklet'!F75)</f>
        <v>2801473</v>
      </c>
      <c r="G45" s="115">
        <f t="shared" si="0"/>
        <v>0.908292532995021</v>
      </c>
      <c r="H45" s="115">
        <f t="shared" si="1"/>
        <v>0.8474940676356094</v>
      </c>
    </row>
    <row r="46" spans="1:8" s="2" customFormat="1" ht="12.75" customHeight="1">
      <c r="A46" s="1290"/>
      <c r="B46" s="1291"/>
      <c r="C46" s="1309"/>
      <c r="D46" s="1309"/>
      <c r="E46" s="1309"/>
      <c r="F46" s="1292"/>
      <c r="G46" s="1310"/>
      <c r="H46" s="1310"/>
    </row>
    <row r="47" spans="1:8" ht="12.75">
      <c r="A47" s="42" t="s">
        <v>600</v>
      </c>
      <c r="B47" s="38" t="s">
        <v>603</v>
      </c>
      <c r="C47" s="196">
        <v>80242</v>
      </c>
      <c r="D47" s="391">
        <v>76770</v>
      </c>
      <c r="E47" s="391">
        <v>103437</v>
      </c>
      <c r="F47" s="511">
        <v>103549</v>
      </c>
      <c r="G47" s="107">
        <f aca="true" t="shared" si="2" ref="G47:G59">IF(D47=0,0,F47/D47)</f>
        <v>1.3488211540966524</v>
      </c>
      <c r="H47" s="107">
        <f aca="true" t="shared" si="3" ref="H47:H59">IF(E47=0,0,F47/E47)</f>
        <v>1.001082784690198</v>
      </c>
    </row>
    <row r="48" spans="1:8" ht="12.75">
      <c r="A48" s="1355" t="s">
        <v>602</v>
      </c>
      <c r="B48" s="584" t="s">
        <v>118</v>
      </c>
      <c r="C48" s="960">
        <v>818193</v>
      </c>
      <c r="D48" s="627">
        <v>790246</v>
      </c>
      <c r="E48" s="627">
        <v>813254</v>
      </c>
      <c r="F48" s="1140">
        <v>803064</v>
      </c>
      <c r="G48" s="628">
        <f t="shared" si="2"/>
        <v>1.016220265588184</v>
      </c>
      <c r="H48" s="628">
        <f t="shared" si="3"/>
        <v>0.9874700892955952</v>
      </c>
    </row>
    <row r="49" spans="1:8" ht="12.75">
      <c r="A49" s="1356"/>
      <c r="B49" s="585" t="s">
        <v>668</v>
      </c>
      <c r="C49" s="961">
        <v>0</v>
      </c>
      <c r="D49" s="631">
        <v>0</v>
      </c>
      <c r="E49" s="631">
        <v>0</v>
      </c>
      <c r="F49" s="1141">
        <v>39375</v>
      </c>
      <c r="G49" s="632">
        <f>IF(D49=0,0,F49/D49)</f>
        <v>0</v>
      </c>
      <c r="H49" s="632">
        <f>IF(E49=0,0,F49/E49)</f>
        <v>0</v>
      </c>
    </row>
    <row r="50" spans="1:8" s="378" customFormat="1" ht="25.5">
      <c r="A50" s="471" t="s">
        <v>604</v>
      </c>
      <c r="B50" s="472" t="s">
        <v>192</v>
      </c>
      <c r="C50" s="1121">
        <v>0</v>
      </c>
      <c r="D50" s="548">
        <v>15051</v>
      </c>
      <c r="E50" s="548">
        <v>698022</v>
      </c>
      <c r="F50" s="1138">
        <v>13420</v>
      </c>
      <c r="G50" s="474">
        <f t="shared" si="2"/>
        <v>0.8916351073018404</v>
      </c>
      <c r="H50" s="474">
        <f t="shared" si="3"/>
        <v>0.019225755062161363</v>
      </c>
    </row>
    <row r="51" spans="1:8" s="378" customFormat="1" ht="12.75">
      <c r="A51" s="475"/>
      <c r="B51" s="585" t="s">
        <v>447</v>
      </c>
      <c r="C51" s="961">
        <v>0</v>
      </c>
      <c r="D51" s="549">
        <v>0</v>
      </c>
      <c r="E51" s="549">
        <v>587080</v>
      </c>
      <c r="F51" s="1139">
        <v>0</v>
      </c>
      <c r="G51" s="477">
        <f>IF(D51=0,0,F51/D51)</f>
        <v>0</v>
      </c>
      <c r="H51" s="477">
        <f>IF(E51=0,0,F51/E51)</f>
        <v>0</v>
      </c>
    </row>
    <row r="52" spans="1:8" s="378" customFormat="1" ht="25.5">
      <c r="A52" s="56" t="s">
        <v>119</v>
      </c>
      <c r="B52" s="374" t="s">
        <v>702</v>
      </c>
      <c r="C52" s="375">
        <v>746502</v>
      </c>
      <c r="D52" s="459">
        <v>251</v>
      </c>
      <c r="E52" s="459">
        <v>16471</v>
      </c>
      <c r="F52" s="442">
        <v>258</v>
      </c>
      <c r="G52" s="376">
        <f>IF(D52=0,0,F52/D52)</f>
        <v>1.0278884462151394</v>
      </c>
      <c r="H52" s="376">
        <f>IF(E52=0,0,F52/E52)</f>
        <v>0.01566389411693279</v>
      </c>
    </row>
    <row r="53" spans="1:8" s="2" customFormat="1" ht="25.5" customHeight="1">
      <c r="A53" s="117" t="s">
        <v>545</v>
      </c>
      <c r="B53" s="367" t="s">
        <v>442</v>
      </c>
      <c r="C53" s="25">
        <f>SUM('3.számú melléklet'!C40+'3.számú melléklet'!C42+'4.számú melléklet'!C66+'4.számú melléklet'!C68)</f>
        <v>1644937</v>
      </c>
      <c r="D53" s="25">
        <f>SUM('3.számú melléklet'!D40+'3.számú melléklet'!D42+'4.számú melléklet'!D66+'4.számú melléklet'!D68)</f>
        <v>882318</v>
      </c>
      <c r="E53" s="25">
        <f>SUM('3.számú melléklet'!E40+'3.számú melléklet'!E42+'4.számú melléklet'!E66+'4.számú melléklet'!E68)</f>
        <v>1631184</v>
      </c>
      <c r="F53" s="513">
        <f>SUM('3.számú melléklet'!F40+'3.számú melléklet'!F42+'4.számú melléklet'!F66+'4.számú melléklet'!F68)</f>
        <v>920291</v>
      </c>
      <c r="G53" s="368">
        <f t="shared" si="2"/>
        <v>1.0430377709623968</v>
      </c>
      <c r="H53" s="368">
        <f t="shared" si="3"/>
        <v>0.5641858919655907</v>
      </c>
    </row>
    <row r="54" spans="1:8" ht="12.75" customHeight="1">
      <c r="A54" s="633" t="s">
        <v>120</v>
      </c>
      <c r="B54" s="584" t="s">
        <v>194</v>
      </c>
      <c r="C54" s="960">
        <v>0</v>
      </c>
      <c r="D54" s="626">
        <f>SUM('3.számú melléklet'!D43+'4.számú melléklet'!D71)</f>
        <v>466479</v>
      </c>
      <c r="E54" s="626">
        <f>SUM('3.számú melléklet'!E43+'4.számú melléklet'!E71)</f>
        <v>860840</v>
      </c>
      <c r="F54" s="1140">
        <f>SUM('3.számú melléklet'!F43+'4.számú melléklet'!F71)</f>
        <v>0</v>
      </c>
      <c r="G54" s="634">
        <f>IF(D54=0,0,F54/D54)</f>
        <v>0</v>
      </c>
      <c r="H54" s="634">
        <f>IF(E54=0,0,F54/E54)</f>
        <v>0</v>
      </c>
    </row>
    <row r="55" spans="1:8" ht="12.75" customHeight="1">
      <c r="A55" s="635"/>
      <c r="B55" s="585" t="s">
        <v>447</v>
      </c>
      <c r="C55" s="961">
        <v>0</v>
      </c>
      <c r="D55" s="630">
        <f>SUM('3.számú melléklet'!D44+'4.számú melléklet'!D72)</f>
        <v>0</v>
      </c>
      <c r="E55" s="630">
        <f>SUM('3.számú melléklet'!E44+'4.számú melléklet'!E72)</f>
        <v>117603</v>
      </c>
      <c r="F55" s="1141">
        <f>SUM('3.számú melléklet'!F44+'4.számú melléklet'!F72)</f>
        <v>0</v>
      </c>
      <c r="G55" s="636">
        <f>IF(D55=0,0,F55/D55)</f>
        <v>0</v>
      </c>
      <c r="H55" s="636">
        <f>IF(E55=0,0,F55/E55)</f>
        <v>0</v>
      </c>
    </row>
    <row r="56" spans="1:8" s="378" customFormat="1" ht="25.5" customHeight="1">
      <c r="A56" s="443" t="s">
        <v>121</v>
      </c>
      <c r="B56" s="374" t="s">
        <v>703</v>
      </c>
      <c r="C56" s="375">
        <v>1565477</v>
      </c>
      <c r="D56" s="380">
        <f>SUM('3.számú melléklet'!D45+'4.számú melléklet'!D73)</f>
        <v>12990</v>
      </c>
      <c r="E56" s="380">
        <f>SUM('3.számú melléklet'!E45+'4.számú melléklet'!E73)</f>
        <v>27793</v>
      </c>
      <c r="F56" s="442">
        <f>SUM('3.számú melléklet'!F45+'4.számú melléklet'!F73)</f>
        <v>0</v>
      </c>
      <c r="G56" s="454">
        <f>IF(D56=0,0,F56/D56)</f>
        <v>0</v>
      </c>
      <c r="H56" s="454">
        <f>IF(E56=0,0,F56/E56)</f>
        <v>0</v>
      </c>
    </row>
    <row r="57" spans="1:8" s="2" customFormat="1" ht="24.75" customHeight="1">
      <c r="A57" s="117" t="s">
        <v>805</v>
      </c>
      <c r="B57" s="367" t="s">
        <v>443</v>
      </c>
      <c r="C57" s="25">
        <f>SUM(C54,C56)</f>
        <v>1565477</v>
      </c>
      <c r="D57" s="25">
        <f>SUM(D54,D56)</f>
        <v>479469</v>
      </c>
      <c r="E57" s="25">
        <f>SUM(E54,E56)</f>
        <v>888633</v>
      </c>
      <c r="F57" s="513">
        <f>SUM(F54,F56)</f>
        <v>0</v>
      </c>
      <c r="G57" s="368">
        <f t="shared" si="2"/>
        <v>0</v>
      </c>
      <c r="H57" s="368">
        <f t="shared" si="3"/>
        <v>0</v>
      </c>
    </row>
    <row r="58" spans="1:8" s="2" customFormat="1" ht="13.5">
      <c r="A58" s="113" t="s">
        <v>123</v>
      </c>
      <c r="B58" s="114" t="s">
        <v>546</v>
      </c>
      <c r="C58" s="68">
        <f>SUM(C53,C57)</f>
        <v>3210414</v>
      </c>
      <c r="D58" s="68">
        <f>SUM(D53,D57)</f>
        <v>1361787</v>
      </c>
      <c r="E58" s="68">
        <f>SUM(E53,E57)</f>
        <v>2519817</v>
      </c>
      <c r="F58" s="512">
        <f>SUM(F53,F57)</f>
        <v>920291</v>
      </c>
      <c r="G58" s="115">
        <f t="shared" si="2"/>
        <v>0.6757965819911631</v>
      </c>
      <c r="H58" s="115">
        <f t="shared" si="3"/>
        <v>0.36522136329741406</v>
      </c>
    </row>
    <row r="59" spans="1:8" s="369" customFormat="1" ht="25.5" customHeight="1">
      <c r="A59" s="117" t="s">
        <v>788</v>
      </c>
      <c r="B59" s="367" t="s">
        <v>547</v>
      </c>
      <c r="C59" s="373">
        <f>SUM('4.számú melléklet'!C77)</f>
        <v>23820</v>
      </c>
      <c r="D59" s="373">
        <f>SUM('4.számú melléklet'!D77)</f>
        <v>20925</v>
      </c>
      <c r="E59" s="373">
        <f>SUM('4.számú melléklet'!E77)</f>
        <v>23110</v>
      </c>
      <c r="F59" s="514">
        <f>SUM('4.számú melléklet'!F77)</f>
        <v>22309</v>
      </c>
      <c r="G59" s="368">
        <f t="shared" si="2"/>
        <v>1.0661409796893668</v>
      </c>
      <c r="H59" s="368">
        <f t="shared" si="3"/>
        <v>0.9653396797922977</v>
      </c>
    </row>
    <row r="60" spans="1:8" s="369" customFormat="1" ht="13.5" customHeight="1">
      <c r="A60" s="117" t="s">
        <v>789</v>
      </c>
      <c r="B60" s="367" t="s">
        <v>704</v>
      </c>
      <c r="C60" s="373">
        <f>SUM('4.számú melléklet'!C78)</f>
        <v>498000</v>
      </c>
      <c r="D60" s="373">
        <f>SUM('4.számú melléklet'!D78)</f>
        <v>0</v>
      </c>
      <c r="E60" s="373">
        <v>0</v>
      </c>
      <c r="F60" s="514">
        <f>SUM('4.számú melléklet'!F78)</f>
        <v>0</v>
      </c>
      <c r="G60" s="368">
        <f>IF(D60=0,0,F60/D60)</f>
        <v>0</v>
      </c>
      <c r="H60" s="368">
        <f aca="true" t="shared" si="4" ref="H60:H68">IF(E60=0,0,F60/E60)</f>
        <v>0</v>
      </c>
    </row>
    <row r="61" spans="1:8" s="369" customFormat="1" ht="13.5" customHeight="1">
      <c r="A61" s="56" t="s">
        <v>122</v>
      </c>
      <c r="B61" s="38" t="s">
        <v>514</v>
      </c>
      <c r="C61" s="196">
        <v>1364847</v>
      </c>
      <c r="D61" s="65">
        <v>0</v>
      </c>
      <c r="E61" s="65">
        <v>3497124</v>
      </c>
      <c r="F61" s="511">
        <v>0</v>
      </c>
      <c r="G61" s="453">
        <f>IF(D61=0,0,F61/D61)</f>
        <v>0</v>
      </c>
      <c r="H61" s="453">
        <f t="shared" si="4"/>
        <v>0</v>
      </c>
    </row>
    <row r="62" spans="1:8" s="369" customFormat="1" ht="13.5" customHeight="1">
      <c r="A62" s="56" t="s">
        <v>769</v>
      </c>
      <c r="B62" s="38" t="s">
        <v>705</v>
      </c>
      <c r="C62" s="196">
        <v>383</v>
      </c>
      <c r="D62" s="65">
        <v>0</v>
      </c>
      <c r="E62" s="65">
        <v>0</v>
      </c>
      <c r="F62" s="511">
        <v>0</v>
      </c>
      <c r="G62" s="453">
        <f>IF(D62=0,0,F62/D62)</f>
        <v>0</v>
      </c>
      <c r="H62" s="453">
        <f t="shared" si="4"/>
        <v>0</v>
      </c>
    </row>
    <row r="63" spans="1:8" s="369" customFormat="1" ht="13.5" customHeight="1">
      <c r="A63" s="117" t="s">
        <v>755</v>
      </c>
      <c r="B63" s="114" t="s">
        <v>889</v>
      </c>
      <c r="C63" s="331">
        <f>SUM('3.számú melléklet'!C47,'4.számú melléklet'!C81)</f>
        <v>1365230</v>
      </c>
      <c r="D63" s="331">
        <f>SUM('3.számú melléklet'!D47,'4.számú melléklet'!D81)</f>
        <v>0</v>
      </c>
      <c r="E63" s="331">
        <f>SUM('3.számú melléklet'!E47,'4.számú melléklet'!E81)</f>
        <v>3497124</v>
      </c>
      <c r="F63" s="516">
        <f>SUM('3.számú melléklet'!F47,'4.számú melléklet'!F81)</f>
        <v>0</v>
      </c>
      <c r="G63" s="115">
        <f>IF(D63=0,0,F63/D63)</f>
        <v>0</v>
      </c>
      <c r="H63" s="115">
        <f t="shared" si="4"/>
        <v>0</v>
      </c>
    </row>
    <row r="64" spans="1:8" s="369" customFormat="1" ht="13.5" customHeight="1">
      <c r="A64" s="117"/>
      <c r="B64" s="114" t="s">
        <v>888</v>
      </c>
      <c r="C64" s="331">
        <f>SUM(C16,C33,C39,C45,C58,C59,C60,C63)</f>
        <v>27920033</v>
      </c>
      <c r="D64" s="331">
        <f>SUM(D16,D33,D39,D45,D58,D59,D60,D63)</f>
        <v>13361466</v>
      </c>
      <c r="E64" s="331">
        <f>SUM(E16,E33,E39,E45,E58,E59,E60,E63)</f>
        <v>18259388</v>
      </c>
      <c r="F64" s="516">
        <f>SUM(F16,F33,F39,F45,F58,F59,F60,F63)</f>
        <v>12991017</v>
      </c>
      <c r="G64" s="115">
        <f>IF(D64=0,0,F64/D64)</f>
        <v>0.972274823735659</v>
      </c>
      <c r="H64" s="115">
        <f t="shared" si="4"/>
        <v>0.7114705596923621</v>
      </c>
    </row>
    <row r="65" spans="1:8" s="2" customFormat="1" ht="13.5" customHeight="1">
      <c r="A65" s="42" t="s">
        <v>753</v>
      </c>
      <c r="B65" s="38" t="s">
        <v>521</v>
      </c>
      <c r="C65" s="196">
        <f>SUM('4.számú melléklet'!C83)</f>
        <v>20824</v>
      </c>
      <c r="D65" s="196">
        <f>SUM('4.számú melléklet'!D83)</f>
        <v>0</v>
      </c>
      <c r="E65" s="196">
        <f>SUM('4.számú melléklet'!E83)</f>
        <v>0</v>
      </c>
      <c r="F65" s="515">
        <f>SUM('4.számú melléklet'!F83)</f>
        <v>0</v>
      </c>
      <c r="G65" s="453">
        <f aca="true" t="shared" si="5" ref="G65:G71">IF(D65=0,0,F65/D65)</f>
        <v>0</v>
      </c>
      <c r="H65" s="453">
        <f t="shared" si="4"/>
        <v>0</v>
      </c>
    </row>
    <row r="66" spans="1:8" s="2" customFormat="1" ht="12.75">
      <c r="A66" s="42" t="s">
        <v>540</v>
      </c>
      <c r="B66" s="38" t="s">
        <v>522</v>
      </c>
      <c r="C66" s="196">
        <f>SUM('4.számú melléklet'!C84)</f>
        <v>112557</v>
      </c>
      <c r="D66" s="196">
        <f>SUM('4.számú melléklet'!D84)</f>
        <v>0</v>
      </c>
      <c r="E66" s="196">
        <f>SUM('4.számú melléklet'!E84)</f>
        <v>2766</v>
      </c>
      <c r="F66" s="515">
        <f>SUM('4.számú melléklet'!F84)</f>
        <v>0</v>
      </c>
      <c r="G66" s="453">
        <f t="shared" si="5"/>
        <v>0</v>
      </c>
      <c r="H66" s="453">
        <f t="shared" si="4"/>
        <v>0</v>
      </c>
    </row>
    <row r="67" spans="1:8" s="2" customFormat="1" ht="12.75">
      <c r="A67" s="42" t="s">
        <v>541</v>
      </c>
      <c r="B67" s="38" t="s">
        <v>437</v>
      </c>
      <c r="C67" s="196">
        <f>SUM('4.számú melléklet'!C85)</f>
        <v>0</v>
      </c>
      <c r="D67" s="196">
        <f>SUM('4.számú melléklet'!D85)</f>
        <v>0</v>
      </c>
      <c r="E67" s="196">
        <f>SUM('4.számú melléklet'!E85)</f>
        <v>456317</v>
      </c>
      <c r="F67" s="515">
        <f>SUM('4.számú melléklet'!F85)</f>
        <v>0</v>
      </c>
      <c r="G67" s="453">
        <f>IF(D67=0,0,F67/D67)</f>
        <v>0</v>
      </c>
      <c r="H67" s="453">
        <f t="shared" si="4"/>
        <v>0</v>
      </c>
    </row>
    <row r="68" spans="1:8" s="2" customFormat="1" ht="12.75">
      <c r="A68" s="42" t="s">
        <v>612</v>
      </c>
      <c r="B68" s="38" t="s">
        <v>210</v>
      </c>
      <c r="C68" s="196">
        <f>SUM('4.számú melléklet'!C86)</f>
        <v>0</v>
      </c>
      <c r="D68" s="196">
        <f>SUM('4.számú melléklet'!D86)</f>
        <v>0</v>
      </c>
      <c r="E68" s="196">
        <f>SUM('4.számú melléklet'!E86)</f>
        <v>2150899</v>
      </c>
      <c r="F68" s="515">
        <f>SUM('4.számú melléklet'!F86)</f>
        <v>0</v>
      </c>
      <c r="G68" s="453">
        <f>IF(D68=0,0,F68/D68)</f>
        <v>0</v>
      </c>
      <c r="H68" s="453">
        <f t="shared" si="4"/>
        <v>0</v>
      </c>
    </row>
    <row r="69" spans="1:8" s="2" customFormat="1" ht="12.75">
      <c r="A69" s="112" t="s">
        <v>444</v>
      </c>
      <c r="B69" s="472" t="s">
        <v>617</v>
      </c>
      <c r="C69" s="960">
        <f>SUM('4.számú melléklet'!C87)</f>
        <v>0</v>
      </c>
      <c r="D69" s="960">
        <f>SUM('4.számú melléklet'!D87)</f>
        <v>2997261</v>
      </c>
      <c r="E69" s="960">
        <f>SUM('4.számú melléklet'!E87)</f>
        <v>765165</v>
      </c>
      <c r="F69" s="1142">
        <f>SUM('4.számú melléklet'!F87)</f>
        <v>3779352</v>
      </c>
      <c r="G69" s="628">
        <f>IF(D69=0,0,F69/D69)</f>
        <v>1.260935233868522</v>
      </c>
      <c r="H69" s="628">
        <f>IF(E69=0,0,F69/E69)</f>
        <v>4.9392640802964065</v>
      </c>
    </row>
    <row r="70" spans="1:8" s="1" customFormat="1" ht="12.75" customHeight="1">
      <c r="A70" s="635"/>
      <c r="B70" s="585" t="s">
        <v>674</v>
      </c>
      <c r="C70" s="630">
        <v>0</v>
      </c>
      <c r="D70" s="630">
        <v>0</v>
      </c>
      <c r="E70" s="630">
        <v>0</v>
      </c>
      <c r="F70" s="1141">
        <v>1656102</v>
      </c>
      <c r="G70" s="632">
        <f>IF(D70=0,0,F70/D70)</f>
        <v>0</v>
      </c>
      <c r="H70" s="632">
        <f>IF(E70=0,0,F70/E70)</f>
        <v>0</v>
      </c>
    </row>
    <row r="71" spans="1:8" s="369" customFormat="1" ht="27">
      <c r="A71" s="117" t="s">
        <v>613</v>
      </c>
      <c r="B71" s="367" t="s">
        <v>506</v>
      </c>
      <c r="C71" s="514">
        <f>SUM(C65:C70)</f>
        <v>133381</v>
      </c>
      <c r="D71" s="514">
        <f>SUM(D65:D70)</f>
        <v>2997261</v>
      </c>
      <c r="E71" s="514">
        <f>SUM(E65:E70)</f>
        <v>3375147</v>
      </c>
      <c r="F71" s="514">
        <f>SUM(F69)</f>
        <v>3779352</v>
      </c>
      <c r="G71" s="368">
        <f t="shared" si="5"/>
        <v>1.260935233868522</v>
      </c>
      <c r="H71" s="368">
        <v>0</v>
      </c>
    </row>
    <row r="72" spans="1:8" s="369" customFormat="1" ht="13.5">
      <c r="A72" s="117"/>
      <c r="B72" s="367" t="s">
        <v>1008</v>
      </c>
      <c r="C72" s="514">
        <f>SUM(C64,C71)</f>
        <v>28053414</v>
      </c>
      <c r="D72" s="514">
        <f>SUM(D64,D71)</f>
        <v>16358727</v>
      </c>
      <c r="E72" s="514">
        <f>SUM(E64,E71)</f>
        <v>21634535</v>
      </c>
      <c r="F72" s="514">
        <f>SUM(F64,F71)</f>
        <v>16770369</v>
      </c>
      <c r="G72" s="368">
        <f>IF(D72=0,0,F72/D72)</f>
        <v>1.025163449454227</v>
      </c>
      <c r="H72" s="368">
        <v>1</v>
      </c>
    </row>
    <row r="73" spans="1:8" s="369" customFormat="1" ht="25.5" customHeight="1">
      <c r="A73" s="117" t="s">
        <v>614</v>
      </c>
      <c r="B73" s="367" t="s">
        <v>520</v>
      </c>
      <c r="C73" s="25">
        <f>SUM('3.számú melléklet'!C49)</f>
        <v>7369746</v>
      </c>
      <c r="D73" s="25">
        <f>SUM('3.számú melléklet'!D49)</f>
        <v>7528303</v>
      </c>
      <c r="E73" s="25">
        <f>SUM('3.számú melléklet'!E49)</f>
        <v>7971952</v>
      </c>
      <c r="F73" s="513">
        <f>SUM('3.számú melléklet'!F49)</f>
        <v>7439104</v>
      </c>
      <c r="G73" s="368">
        <f>IF(D73=0,0,F73/D73)</f>
        <v>0.9881515130302274</v>
      </c>
      <c r="H73" s="368">
        <f>IF(E73=0,0,F73/E73)</f>
        <v>0.9331596577601069</v>
      </c>
    </row>
    <row r="74" spans="1:8" s="369" customFormat="1" ht="27.75" customHeight="1">
      <c r="A74" s="117" t="s">
        <v>451</v>
      </c>
      <c r="B74" s="367" t="s">
        <v>747</v>
      </c>
      <c r="C74" s="25">
        <f>SUM('3.számú melléklet'!C49)*-1</f>
        <v>-7369746</v>
      </c>
      <c r="D74" s="25">
        <f>SUM('3.számú melléklet'!D49)*-1</f>
        <v>-7528303</v>
      </c>
      <c r="E74" s="25">
        <f>SUM('3.számú melléklet'!E49)*-1</f>
        <v>-7971952</v>
      </c>
      <c r="F74" s="513">
        <f>SUM('3.számú melléklet'!F49)*-1</f>
        <v>-7439104</v>
      </c>
      <c r="G74" s="368">
        <f>IF(D74=0,0,F74/D74)</f>
        <v>0.9881515130302274</v>
      </c>
      <c r="H74" s="368">
        <f>IF(E74=0,0,F74/E74)</f>
        <v>0.9331596577601069</v>
      </c>
    </row>
    <row r="75" spans="1:8" s="2" customFormat="1" ht="15" customHeight="1">
      <c r="A75" s="113"/>
      <c r="B75" s="114" t="s">
        <v>556</v>
      </c>
      <c r="C75" s="68">
        <f>SUM(C72:C74)</f>
        <v>28053414</v>
      </c>
      <c r="D75" s="68">
        <f>SUM(D72:D74)</f>
        <v>16358727</v>
      </c>
      <c r="E75" s="68">
        <f>SUM(E72:E74)</f>
        <v>21634535</v>
      </c>
      <c r="F75" s="512">
        <f>SUM(F72:F74)</f>
        <v>16770369</v>
      </c>
      <c r="G75" s="115">
        <f>IF(D75=0,0,F75/D75)</f>
        <v>1.025163449454227</v>
      </c>
      <c r="H75" s="115">
        <f>IF(E75=0,0,F75/E75)</f>
        <v>0.7751666028412444</v>
      </c>
    </row>
  </sheetData>
  <mergeCells count="1">
    <mergeCell ref="A48:A4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&amp;C&amp;P&amp;R&amp;"Times New Roman CE,Normál"1.számú melléklet
</oddHeader>
    <oddFooter>&amp;L&amp;"Times New Roman CE,Normál"&amp;8&amp;F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ntry="1"/>
  <dimension ref="A1:H52"/>
  <sheetViews>
    <sheetView workbookViewId="0" topLeftCell="A37">
      <selection activeCell="F51" sqref="F51"/>
    </sheetView>
  </sheetViews>
  <sheetFormatPr defaultColWidth="9.140625" defaultRowHeight="12.75"/>
  <cols>
    <col min="1" max="1" width="4.00390625" style="8" customWidth="1"/>
    <col min="2" max="2" width="38.28125" style="10" customWidth="1"/>
    <col min="3" max="3" width="9.8515625" style="10" customWidth="1"/>
    <col min="4" max="4" width="10.421875" style="543" customWidth="1"/>
    <col min="5" max="5" width="10.00390625" style="9" customWidth="1"/>
    <col min="6" max="6" width="9.7109375" style="9" customWidth="1"/>
    <col min="7" max="8" width="9.140625" style="3" customWidth="1"/>
    <col min="9" max="16384" width="8.8515625" style="3" customWidth="1"/>
  </cols>
  <sheetData>
    <row r="1" spans="1:8" ht="15.75">
      <c r="A1" s="1342" t="s">
        <v>426</v>
      </c>
      <c r="B1" s="1343"/>
      <c r="C1" s="1343"/>
      <c r="D1" s="1343"/>
      <c r="E1" s="1343"/>
      <c r="F1" s="1343"/>
      <c r="G1" s="1343"/>
      <c r="H1" s="1343"/>
    </row>
    <row r="2" spans="1:8" ht="15.75">
      <c r="A2" s="1348" t="s">
        <v>903</v>
      </c>
      <c r="B2" s="1345"/>
      <c r="C2" s="1345"/>
      <c r="D2" s="1345"/>
      <c r="E2" s="1345"/>
      <c r="F2" s="1345"/>
      <c r="G2" s="1345"/>
      <c r="H2" s="1345"/>
    </row>
    <row r="3" spans="1:8" ht="15.75">
      <c r="A3" s="1348" t="s">
        <v>759</v>
      </c>
      <c r="B3" s="1345"/>
      <c r="C3" s="1345"/>
      <c r="D3" s="1345"/>
      <c r="E3" s="1345"/>
      <c r="F3" s="1345"/>
      <c r="G3" s="1345"/>
      <c r="H3" s="1345"/>
    </row>
    <row r="4" spans="1:8" ht="15.75">
      <c r="A4" s="1366" t="s">
        <v>463</v>
      </c>
      <c r="B4" s="1345"/>
      <c r="C4" s="1345"/>
      <c r="D4" s="1345"/>
      <c r="E4" s="1345"/>
      <c r="F4" s="1345"/>
      <c r="G4" s="1345"/>
      <c r="H4" s="1345"/>
    </row>
    <row r="5" spans="2:8" ht="15.75" customHeight="1">
      <c r="B5" s="720"/>
      <c r="C5" s="720"/>
      <c r="D5" s="4"/>
      <c r="E5" s="4"/>
      <c r="F5" s="510"/>
      <c r="G5" s="721"/>
      <c r="H5" s="722" t="s">
        <v>128</v>
      </c>
    </row>
    <row r="6" spans="1:8" s="5" customFormat="1" ht="39.75" customHeight="1">
      <c r="A6" s="1226" t="s">
        <v>169</v>
      </c>
      <c r="B6" s="197" t="s">
        <v>129</v>
      </c>
      <c r="C6" s="725" t="s">
        <v>257</v>
      </c>
      <c r="D6" s="563" t="s">
        <v>911</v>
      </c>
      <c r="E6" s="563" t="s">
        <v>258</v>
      </c>
      <c r="F6" s="988" t="s">
        <v>249</v>
      </c>
      <c r="G6" s="723" t="s">
        <v>259</v>
      </c>
      <c r="H6" s="723" t="s">
        <v>259</v>
      </c>
    </row>
    <row r="7" spans="1:8" s="5" customFormat="1" ht="12" customHeight="1">
      <c r="A7" s="197" t="s">
        <v>524</v>
      </c>
      <c r="B7" s="445" t="s">
        <v>525</v>
      </c>
      <c r="C7" s="445" t="s">
        <v>526</v>
      </c>
      <c r="D7" s="445" t="s">
        <v>729</v>
      </c>
      <c r="E7" s="445" t="s">
        <v>730</v>
      </c>
      <c r="F7" s="989" t="s">
        <v>731</v>
      </c>
      <c r="G7" s="724" t="s">
        <v>250</v>
      </c>
      <c r="H7" s="724" t="s">
        <v>251</v>
      </c>
    </row>
    <row r="8" spans="1:8" s="6" customFormat="1" ht="12" customHeight="1">
      <c r="A8" s="198"/>
      <c r="B8" s="452" t="s">
        <v>739</v>
      </c>
      <c r="C8" s="952">
        <v>1429</v>
      </c>
      <c r="D8" s="539">
        <v>1506</v>
      </c>
      <c r="E8" s="539">
        <v>1484</v>
      </c>
      <c r="F8" s="58">
        <v>1459.5</v>
      </c>
      <c r="G8" s="453"/>
      <c r="H8" s="453"/>
    </row>
    <row r="9" spans="1:8" s="34" customFormat="1" ht="12" customHeight="1">
      <c r="A9" s="170"/>
      <c r="B9" s="63" t="s">
        <v>459</v>
      </c>
      <c r="C9" s="957"/>
      <c r="D9" s="540"/>
      <c r="E9" s="540"/>
      <c r="F9" s="494"/>
      <c r="G9" s="453"/>
      <c r="H9" s="453"/>
    </row>
    <row r="10" spans="1:8" s="7" customFormat="1" ht="12" customHeight="1">
      <c r="A10" s="199" t="s">
        <v>524</v>
      </c>
      <c r="B10" s="449" t="s">
        <v>460</v>
      </c>
      <c r="C10" s="958">
        <v>3191537</v>
      </c>
      <c r="D10" s="29">
        <v>3411463</v>
      </c>
      <c r="E10" s="29">
        <v>3473359</v>
      </c>
      <c r="F10" s="461">
        <v>3375162</v>
      </c>
      <c r="G10" s="30">
        <f>IF(D10=0,0,F10/D10)</f>
        <v>0.9893591107392928</v>
      </c>
      <c r="H10" s="30">
        <f aca="true" t="shared" si="0" ref="H10:H52">IF(E10=0,0,F10/E10)</f>
        <v>0.9717285198564272</v>
      </c>
    </row>
    <row r="11" spans="1:8" s="7" customFormat="1" ht="12" customHeight="1">
      <c r="A11" s="199" t="s">
        <v>525</v>
      </c>
      <c r="B11" s="450" t="s">
        <v>461</v>
      </c>
      <c r="C11" s="953">
        <f>SUM(C12:C15)</f>
        <v>1047332</v>
      </c>
      <c r="D11" s="29">
        <f>SUM(D12:D15)</f>
        <v>1092675</v>
      </c>
      <c r="E11" s="29">
        <f>SUM(E12:E15)</f>
        <v>1110591</v>
      </c>
      <c r="F11" s="461">
        <f>SUM(F12:F15)</f>
        <v>1082075</v>
      </c>
      <c r="G11" s="30">
        <f aca="true" t="shared" si="1" ref="G11:G52">IF(D11=0,0,F11/D11)</f>
        <v>0.9902990367675658</v>
      </c>
      <c r="H11" s="30">
        <f t="shared" si="0"/>
        <v>0.9743235808682044</v>
      </c>
    </row>
    <row r="12" spans="1:8" s="7" customFormat="1" ht="12" customHeight="1">
      <c r="A12" s="199"/>
      <c r="B12" s="447" t="s">
        <v>316</v>
      </c>
      <c r="C12" s="959">
        <v>889878</v>
      </c>
      <c r="D12" s="29">
        <v>954130</v>
      </c>
      <c r="E12" s="29">
        <v>967527</v>
      </c>
      <c r="F12" s="461">
        <v>943059</v>
      </c>
      <c r="G12" s="30">
        <f t="shared" si="1"/>
        <v>0.9883967593514511</v>
      </c>
      <c r="H12" s="30">
        <f t="shared" si="0"/>
        <v>0.9747107832649632</v>
      </c>
    </row>
    <row r="13" spans="1:8" s="7" customFormat="1" ht="12" customHeight="1">
      <c r="A13" s="199"/>
      <c r="B13" s="447" t="s">
        <v>198</v>
      </c>
      <c r="C13" s="959">
        <v>90366</v>
      </c>
      <c r="D13" s="29">
        <v>98706</v>
      </c>
      <c r="E13" s="29">
        <v>98486</v>
      </c>
      <c r="F13" s="461">
        <v>97555</v>
      </c>
      <c r="G13" s="30">
        <f t="shared" si="1"/>
        <v>0.9883391080582741</v>
      </c>
      <c r="H13" s="30">
        <f t="shared" si="0"/>
        <v>0.9905468797595597</v>
      </c>
    </row>
    <row r="14" spans="1:8" s="7" customFormat="1" ht="12" customHeight="1">
      <c r="A14" s="199"/>
      <c r="B14" s="447" t="s">
        <v>199</v>
      </c>
      <c r="C14" s="959">
        <v>57599</v>
      </c>
      <c r="D14" s="29">
        <v>32300</v>
      </c>
      <c r="E14" s="29">
        <v>33282</v>
      </c>
      <c r="F14" s="461">
        <v>34153</v>
      </c>
      <c r="G14" s="30">
        <f t="shared" si="1"/>
        <v>1.0573684210526315</v>
      </c>
      <c r="H14" s="30">
        <f t="shared" si="0"/>
        <v>1.0261703022654889</v>
      </c>
    </row>
    <row r="15" spans="1:8" s="7" customFormat="1" ht="12" customHeight="1">
      <c r="A15" s="199"/>
      <c r="B15" s="447" t="s">
        <v>315</v>
      </c>
      <c r="C15" s="959">
        <v>9489</v>
      </c>
      <c r="D15" s="29">
        <v>7539</v>
      </c>
      <c r="E15" s="29">
        <v>11296</v>
      </c>
      <c r="F15" s="461">
        <v>7308</v>
      </c>
      <c r="G15" s="30">
        <f t="shared" si="1"/>
        <v>0.9693593314763231</v>
      </c>
      <c r="H15" s="30">
        <f t="shared" si="0"/>
        <v>0.6469546742209632</v>
      </c>
    </row>
    <row r="16" spans="1:8" s="7" customFormat="1" ht="12" customHeight="1">
      <c r="A16" s="199" t="s">
        <v>526</v>
      </c>
      <c r="B16" s="449" t="s">
        <v>462</v>
      </c>
      <c r="C16" s="958">
        <v>1417404</v>
      </c>
      <c r="D16" s="29">
        <v>1232341</v>
      </c>
      <c r="E16" s="29">
        <v>1348919</v>
      </c>
      <c r="F16" s="461">
        <v>1228810</v>
      </c>
      <c r="G16" s="30">
        <f t="shared" si="1"/>
        <v>0.9971347216395462</v>
      </c>
      <c r="H16" s="30">
        <f t="shared" si="0"/>
        <v>0.9109590716714643</v>
      </c>
    </row>
    <row r="17" spans="1:8" s="6" customFormat="1" ht="24" customHeight="1">
      <c r="A17" s="578" t="s">
        <v>729</v>
      </c>
      <c r="B17" s="579" t="s">
        <v>195</v>
      </c>
      <c r="C17" s="954">
        <f>SUM(C18,C20)</f>
        <v>0</v>
      </c>
      <c r="D17" s="580">
        <f>SUM(D18,D20)</f>
        <v>0</v>
      </c>
      <c r="E17" s="580">
        <f>SUM(E18,E20)</f>
        <v>73688</v>
      </c>
      <c r="F17" s="461">
        <f>SUM(F18,F20)</f>
        <v>0</v>
      </c>
      <c r="G17" s="637">
        <f t="shared" si="1"/>
        <v>0</v>
      </c>
      <c r="H17" s="637">
        <f t="shared" si="0"/>
        <v>0</v>
      </c>
    </row>
    <row r="18" spans="1:8" s="7" customFormat="1" ht="12" customHeight="1">
      <c r="A18" s="583"/>
      <c r="B18" s="584" t="s">
        <v>405</v>
      </c>
      <c r="C18" s="960">
        <v>0</v>
      </c>
      <c r="D18" s="466">
        <v>0</v>
      </c>
      <c r="E18" s="466">
        <v>73688</v>
      </c>
      <c r="F18" s="580">
        <v>0</v>
      </c>
      <c r="G18" s="586">
        <f t="shared" si="1"/>
        <v>0</v>
      </c>
      <c r="H18" s="506">
        <f t="shared" si="0"/>
        <v>0</v>
      </c>
    </row>
    <row r="19" spans="1:8" s="7" customFormat="1" ht="12" customHeight="1">
      <c r="A19" s="581"/>
      <c r="B19" s="585" t="s">
        <v>447</v>
      </c>
      <c r="C19" s="961">
        <v>0</v>
      </c>
      <c r="D19" s="469">
        <v>0</v>
      </c>
      <c r="E19" s="469">
        <v>4609</v>
      </c>
      <c r="F19" s="990">
        <v>0</v>
      </c>
      <c r="G19" s="587">
        <f>IF(D19=0,0,F19/D19)</f>
        <v>0</v>
      </c>
      <c r="H19" s="507">
        <f>IF(E19=0,0,F19/E19)</f>
        <v>0</v>
      </c>
    </row>
    <row r="20" spans="1:8" s="7" customFormat="1" ht="24" customHeight="1">
      <c r="A20" s="581"/>
      <c r="B20" s="582" t="s">
        <v>406</v>
      </c>
      <c r="C20" s="962">
        <v>0</v>
      </c>
      <c r="D20" s="469">
        <v>0</v>
      </c>
      <c r="E20" s="469">
        <v>0</v>
      </c>
      <c r="F20" s="461">
        <v>0</v>
      </c>
      <c r="G20" s="507">
        <f t="shared" si="1"/>
        <v>0</v>
      </c>
      <c r="H20" s="507">
        <f t="shared" si="0"/>
        <v>0</v>
      </c>
    </row>
    <row r="21" spans="1:8" s="7" customFormat="1" ht="12" customHeight="1">
      <c r="A21" s="199" t="s">
        <v>730</v>
      </c>
      <c r="B21" s="449" t="s">
        <v>185</v>
      </c>
      <c r="C21" s="958">
        <v>3440</v>
      </c>
      <c r="D21" s="29">
        <v>0</v>
      </c>
      <c r="E21" s="29">
        <v>0</v>
      </c>
      <c r="F21" s="461">
        <v>0</v>
      </c>
      <c r="G21" s="30">
        <f t="shared" si="1"/>
        <v>0</v>
      </c>
      <c r="H21" s="30">
        <f t="shared" si="0"/>
        <v>0</v>
      </c>
    </row>
    <row r="22" spans="1:8" s="7" customFormat="1" ht="12" customHeight="1">
      <c r="A22" s="199" t="s">
        <v>731</v>
      </c>
      <c r="B22" s="449" t="s">
        <v>83</v>
      </c>
      <c r="C22" s="958">
        <v>0</v>
      </c>
      <c r="D22" s="29">
        <v>0</v>
      </c>
      <c r="E22" s="29">
        <v>0</v>
      </c>
      <c r="F22" s="461">
        <v>0</v>
      </c>
      <c r="G22" s="30">
        <f>IF(D22=0,0,F22/D22)</f>
        <v>0</v>
      </c>
      <c r="H22" s="30">
        <f>IF(E22=0,0,F22/E22)</f>
        <v>0</v>
      </c>
    </row>
    <row r="23" spans="1:8" s="142" customFormat="1" ht="13.5">
      <c r="A23" s="170" t="s">
        <v>805</v>
      </c>
      <c r="B23" s="35" t="s">
        <v>317</v>
      </c>
      <c r="C23" s="568">
        <f>SUM(C10,C11,C16,C17,C21,C22)</f>
        <v>5659713</v>
      </c>
      <c r="D23" s="568">
        <f>SUM(D10,D11,D16,D17,D21,D22)</f>
        <v>5736479</v>
      </c>
      <c r="E23" s="568">
        <f>SUM(E10,E11,E16,E17,E21,E22)</f>
        <v>6006557</v>
      </c>
      <c r="F23" s="568">
        <f>SUM(F10,F11,F16,F17,F21,F22)</f>
        <v>5686047</v>
      </c>
      <c r="G23" s="502">
        <f t="shared" si="1"/>
        <v>0.9912085444747554</v>
      </c>
      <c r="H23" s="502">
        <f t="shared" si="0"/>
        <v>0.9466399802748896</v>
      </c>
    </row>
    <row r="24" spans="1:8" s="7" customFormat="1" ht="12" customHeight="1">
      <c r="A24" s="199" t="s">
        <v>732</v>
      </c>
      <c r="B24" s="449" t="s">
        <v>200</v>
      </c>
      <c r="C24" s="958">
        <v>217204</v>
      </c>
      <c r="D24" s="29">
        <v>5000</v>
      </c>
      <c r="E24" s="29">
        <v>325578</v>
      </c>
      <c r="F24" s="461">
        <v>5000</v>
      </c>
      <c r="G24" s="30">
        <f t="shared" si="1"/>
        <v>1</v>
      </c>
      <c r="H24" s="30">
        <f t="shared" si="0"/>
        <v>0.015357303011874266</v>
      </c>
    </row>
    <row r="25" spans="1:8" s="7" customFormat="1" ht="12" customHeight="1">
      <c r="A25" s="199" t="s">
        <v>733</v>
      </c>
      <c r="B25" s="449" t="s">
        <v>203</v>
      </c>
      <c r="C25" s="958">
        <v>42214</v>
      </c>
      <c r="D25" s="29">
        <v>0</v>
      </c>
      <c r="E25" s="29">
        <v>54140</v>
      </c>
      <c r="F25" s="461">
        <v>0</v>
      </c>
      <c r="G25" s="30">
        <f t="shared" si="1"/>
        <v>0</v>
      </c>
      <c r="H25" s="30">
        <f t="shared" si="0"/>
        <v>0</v>
      </c>
    </row>
    <row r="26" spans="1:8" s="6" customFormat="1" ht="25.5" customHeight="1">
      <c r="A26" s="198" t="s">
        <v>734</v>
      </c>
      <c r="B26" s="460" t="s">
        <v>196</v>
      </c>
      <c r="C26" s="955">
        <f>SUM(C28,C30)</f>
        <v>0</v>
      </c>
      <c r="D26" s="461">
        <f>SUM(D28,D30)</f>
        <v>0</v>
      </c>
      <c r="E26" s="461">
        <f>SUM(E28,E30)</f>
        <v>69040</v>
      </c>
      <c r="F26" s="461">
        <f>SUM(F28,F30)</f>
        <v>0</v>
      </c>
      <c r="G26" s="547">
        <f t="shared" si="1"/>
        <v>0</v>
      </c>
      <c r="H26" s="547">
        <f t="shared" si="0"/>
        <v>0</v>
      </c>
    </row>
    <row r="27" spans="1:8" s="7" customFormat="1" ht="12" customHeight="1" hidden="1">
      <c r="A27" s="583"/>
      <c r="B27" s="588"/>
      <c r="C27" s="963"/>
      <c r="D27" s="466"/>
      <c r="E27" s="466"/>
      <c r="F27" s="461"/>
      <c r="G27" s="506">
        <f t="shared" si="1"/>
        <v>0</v>
      </c>
      <c r="H27" s="506">
        <f t="shared" si="0"/>
        <v>0</v>
      </c>
    </row>
    <row r="28" spans="1:8" s="57" customFormat="1" ht="12" customHeight="1">
      <c r="A28" s="464"/>
      <c r="B28" s="584" t="s">
        <v>407</v>
      </c>
      <c r="C28" s="960">
        <v>0</v>
      </c>
      <c r="D28" s="466">
        <v>0</v>
      </c>
      <c r="E28" s="466">
        <v>69040</v>
      </c>
      <c r="F28" s="580">
        <v>0</v>
      </c>
      <c r="G28" s="506">
        <f t="shared" si="1"/>
        <v>0</v>
      </c>
      <c r="H28" s="506">
        <f t="shared" si="0"/>
        <v>0</v>
      </c>
    </row>
    <row r="29" spans="1:8" s="57" customFormat="1" ht="12" customHeight="1">
      <c r="A29" s="467"/>
      <c r="B29" s="585" t="s">
        <v>447</v>
      </c>
      <c r="C29" s="961">
        <v>0</v>
      </c>
      <c r="D29" s="469">
        <v>0</v>
      </c>
      <c r="E29" s="469">
        <v>69040</v>
      </c>
      <c r="F29" s="990">
        <v>0</v>
      </c>
      <c r="G29" s="507">
        <f>IF(D29=0,0,F29/D29)</f>
        <v>0</v>
      </c>
      <c r="H29" s="507">
        <f>IF(E29=0,0,F29/E29)</f>
        <v>0</v>
      </c>
    </row>
    <row r="30" spans="1:8" s="57" customFormat="1" ht="24" customHeight="1">
      <c r="A30" s="467"/>
      <c r="B30" s="582" t="s">
        <v>408</v>
      </c>
      <c r="C30" s="962">
        <v>0</v>
      </c>
      <c r="D30" s="469">
        <v>0</v>
      </c>
      <c r="E30" s="469">
        <v>0</v>
      </c>
      <c r="F30" s="461">
        <v>0</v>
      </c>
      <c r="G30" s="507">
        <f t="shared" si="1"/>
        <v>0</v>
      </c>
      <c r="H30" s="507">
        <f t="shared" si="0"/>
        <v>0</v>
      </c>
    </row>
    <row r="31" spans="1:8" s="34" customFormat="1" ht="12" customHeight="1">
      <c r="A31" s="170" t="s">
        <v>327</v>
      </c>
      <c r="B31" s="35" t="s">
        <v>318</v>
      </c>
      <c r="C31" s="956">
        <f>SUM(C24,C25,C26)</f>
        <v>259418</v>
      </c>
      <c r="D31" s="494">
        <f>SUM(D24,D25,D26)</f>
        <v>5000</v>
      </c>
      <c r="E31" s="494">
        <f>SUM(E24,E25,E26)</f>
        <v>448758</v>
      </c>
      <c r="F31" s="494">
        <f>SUM(F24,F25,F26)</f>
        <v>5000</v>
      </c>
      <c r="G31" s="502">
        <f t="shared" si="1"/>
        <v>1</v>
      </c>
      <c r="H31" s="502">
        <f t="shared" si="0"/>
        <v>0.011141862652030717</v>
      </c>
    </row>
    <row r="32" spans="1:8" s="533" customFormat="1" ht="13.5" customHeight="1">
      <c r="A32" s="198"/>
      <c r="B32" s="532" t="s">
        <v>756</v>
      </c>
      <c r="C32" s="956">
        <f>SUM(C23,C24:C26)</f>
        <v>5919131</v>
      </c>
      <c r="D32" s="494">
        <f>SUM(D23,D24:D26)</f>
        <v>5741479</v>
      </c>
      <c r="E32" s="494">
        <f>SUM(E23,E24:E26)</f>
        <v>6455315</v>
      </c>
      <c r="F32" s="494">
        <f>SUM(F23,F24:F26)</f>
        <v>5691047</v>
      </c>
      <c r="G32" s="502">
        <f t="shared" si="1"/>
        <v>0.9912162005643493</v>
      </c>
      <c r="H32" s="502">
        <f t="shared" si="0"/>
        <v>0.8816063972091215</v>
      </c>
    </row>
    <row r="33" spans="1:8" s="34" customFormat="1" ht="12" customHeight="1">
      <c r="A33" s="170"/>
      <c r="B33" s="54" t="s">
        <v>319</v>
      </c>
      <c r="C33" s="941"/>
      <c r="D33" s="29"/>
      <c r="E33" s="29"/>
      <c r="F33" s="461"/>
      <c r="G33" s="30"/>
      <c r="H33" s="30"/>
    </row>
    <row r="34" spans="1:8" s="34" customFormat="1" ht="12" customHeight="1">
      <c r="A34" s="161" t="s">
        <v>524</v>
      </c>
      <c r="B34" s="151" t="s">
        <v>400</v>
      </c>
      <c r="C34" s="949">
        <v>0</v>
      </c>
      <c r="D34" s="29">
        <v>0</v>
      </c>
      <c r="E34" s="29">
        <v>0</v>
      </c>
      <c r="F34" s="461">
        <v>0</v>
      </c>
      <c r="G34" s="506">
        <f t="shared" si="1"/>
        <v>0</v>
      </c>
      <c r="H34" s="506">
        <f t="shared" si="0"/>
        <v>0</v>
      </c>
    </row>
    <row r="35" spans="1:8" s="34" customFormat="1" ht="24" customHeight="1">
      <c r="A35" s="464" t="s">
        <v>525</v>
      </c>
      <c r="B35" s="465" t="s">
        <v>791</v>
      </c>
      <c r="C35" s="950">
        <v>271176</v>
      </c>
      <c r="D35" s="466">
        <v>239466</v>
      </c>
      <c r="E35" s="466">
        <v>290400</v>
      </c>
      <c r="F35" s="1202">
        <v>256110</v>
      </c>
      <c r="G35" s="506">
        <f t="shared" si="1"/>
        <v>1.0695046478414472</v>
      </c>
      <c r="H35" s="1204">
        <f t="shared" si="0"/>
        <v>0.8819214876033058</v>
      </c>
    </row>
    <row r="36" spans="1:8" s="34" customFormat="1" ht="12.75" customHeight="1">
      <c r="A36" s="467"/>
      <c r="B36" s="468" t="s">
        <v>396</v>
      </c>
      <c r="C36" s="951">
        <v>0</v>
      </c>
      <c r="D36" s="469">
        <v>0</v>
      </c>
      <c r="E36" s="469">
        <v>0</v>
      </c>
      <c r="F36" s="1203">
        <v>0</v>
      </c>
      <c r="G36" s="507">
        <f>IF(D36=0,0,F36/D36)</f>
        <v>0</v>
      </c>
      <c r="H36" s="1205">
        <f>IF(E36=0,0,F36/E36)</f>
        <v>0</v>
      </c>
    </row>
    <row r="37" spans="1:8" s="34" customFormat="1" ht="12" customHeight="1">
      <c r="A37" s="161" t="s">
        <v>526</v>
      </c>
      <c r="B37" s="36" t="s">
        <v>726</v>
      </c>
      <c r="C37" s="59">
        <v>9180</v>
      </c>
      <c r="D37" s="29">
        <v>7702</v>
      </c>
      <c r="E37" s="29">
        <v>9009</v>
      </c>
      <c r="F37" s="461">
        <v>10786</v>
      </c>
      <c r="G37" s="507">
        <f t="shared" si="1"/>
        <v>1.4004154764996104</v>
      </c>
      <c r="H37" s="507">
        <f t="shared" si="0"/>
        <v>1.1972471972471972</v>
      </c>
    </row>
    <row r="38" spans="1:8" s="34" customFormat="1" ht="12" customHeight="1">
      <c r="A38" s="161" t="s">
        <v>729</v>
      </c>
      <c r="B38" s="449" t="s">
        <v>607</v>
      </c>
      <c r="C38" s="59">
        <v>49</v>
      </c>
      <c r="D38" s="29">
        <v>49</v>
      </c>
      <c r="E38" s="29">
        <v>50</v>
      </c>
      <c r="F38" s="461">
        <v>52</v>
      </c>
      <c r="G38" s="30">
        <f t="shared" si="1"/>
        <v>1.0612244897959184</v>
      </c>
      <c r="H38" s="30">
        <f t="shared" si="0"/>
        <v>1.04</v>
      </c>
    </row>
    <row r="39" spans="1:8" s="34" customFormat="1" ht="12" customHeight="1">
      <c r="A39" s="464" t="s">
        <v>730</v>
      </c>
      <c r="B39" s="449" t="s">
        <v>349</v>
      </c>
      <c r="C39" s="470">
        <v>34495</v>
      </c>
      <c r="D39" s="466">
        <v>32254</v>
      </c>
      <c r="E39" s="466">
        <v>40063</v>
      </c>
      <c r="F39" s="461">
        <v>46237</v>
      </c>
      <c r="G39" s="506">
        <f t="shared" si="1"/>
        <v>1.4335276244806845</v>
      </c>
      <c r="H39" s="506">
        <f t="shared" si="0"/>
        <v>1.154107281032374</v>
      </c>
    </row>
    <row r="40" spans="1:8" s="34" customFormat="1" ht="25.5" customHeight="1">
      <c r="A40" s="464" t="s">
        <v>731</v>
      </c>
      <c r="B40" s="590" t="s">
        <v>192</v>
      </c>
      <c r="C40" s="944">
        <v>259079</v>
      </c>
      <c r="D40" s="466">
        <v>0</v>
      </c>
      <c r="E40" s="466">
        <v>274459</v>
      </c>
      <c r="F40" s="580">
        <v>0</v>
      </c>
      <c r="G40" s="506">
        <f t="shared" si="1"/>
        <v>0</v>
      </c>
      <c r="H40" s="506">
        <v>0</v>
      </c>
    </row>
    <row r="41" spans="1:8" s="34" customFormat="1" ht="12" customHeight="1">
      <c r="A41" s="467"/>
      <c r="B41" s="585" t="s">
        <v>447</v>
      </c>
      <c r="C41" s="951">
        <v>0</v>
      </c>
      <c r="D41" s="469">
        <v>0</v>
      </c>
      <c r="E41" s="469">
        <v>265589</v>
      </c>
      <c r="F41" s="990">
        <v>0</v>
      </c>
      <c r="G41" s="507">
        <f>IF(D41=0,0,F41/D41)</f>
        <v>0</v>
      </c>
      <c r="H41" s="507">
        <f>IF(E41=0,0,F41/E41)</f>
        <v>0</v>
      </c>
    </row>
    <row r="42" spans="1:8" s="34" customFormat="1" ht="24" customHeight="1">
      <c r="A42" s="467" t="s">
        <v>732</v>
      </c>
      <c r="B42" s="589" t="s">
        <v>625</v>
      </c>
      <c r="C42" s="945">
        <v>13670</v>
      </c>
      <c r="D42" s="469">
        <v>0</v>
      </c>
      <c r="E42" s="469">
        <v>10226</v>
      </c>
      <c r="F42" s="580">
        <v>0</v>
      </c>
      <c r="G42" s="507">
        <f t="shared" si="1"/>
        <v>0</v>
      </c>
      <c r="H42" s="507">
        <f t="shared" si="0"/>
        <v>0</v>
      </c>
    </row>
    <row r="43" spans="1:8" s="34" customFormat="1" ht="12" customHeight="1">
      <c r="A43" s="464" t="s">
        <v>733</v>
      </c>
      <c r="B43" s="590" t="s">
        <v>194</v>
      </c>
      <c r="C43" s="944">
        <v>0</v>
      </c>
      <c r="D43" s="466">
        <v>0</v>
      </c>
      <c r="E43" s="466">
        <v>102490</v>
      </c>
      <c r="F43" s="580">
        <v>0</v>
      </c>
      <c r="G43" s="506">
        <f t="shared" si="1"/>
        <v>0</v>
      </c>
      <c r="H43" s="506">
        <f t="shared" si="0"/>
        <v>0</v>
      </c>
    </row>
    <row r="44" spans="1:8" s="34" customFormat="1" ht="12" customHeight="1">
      <c r="A44" s="467"/>
      <c r="B44" s="585" t="s">
        <v>447</v>
      </c>
      <c r="C44" s="951">
        <v>0</v>
      </c>
      <c r="D44" s="469">
        <v>0</v>
      </c>
      <c r="E44" s="469">
        <v>102490</v>
      </c>
      <c r="F44" s="990">
        <v>0</v>
      </c>
      <c r="G44" s="507">
        <f t="shared" si="1"/>
        <v>0</v>
      </c>
      <c r="H44" s="507">
        <f t="shared" si="0"/>
        <v>0</v>
      </c>
    </row>
    <row r="45" spans="1:8" s="34" customFormat="1" ht="24" customHeight="1">
      <c r="A45" s="161" t="s">
        <v>734</v>
      </c>
      <c r="B45" s="448" t="s">
        <v>418</v>
      </c>
      <c r="C45" s="946">
        <v>17097</v>
      </c>
      <c r="D45" s="29">
        <v>0</v>
      </c>
      <c r="E45" s="29">
        <v>7076</v>
      </c>
      <c r="F45" s="990">
        <v>0</v>
      </c>
      <c r="G45" s="30">
        <f t="shared" si="1"/>
        <v>0</v>
      </c>
      <c r="H45" s="30">
        <f t="shared" si="0"/>
        <v>0</v>
      </c>
    </row>
    <row r="46" spans="1:8" s="34" customFormat="1" ht="12" customHeight="1">
      <c r="A46" s="161" t="s">
        <v>735</v>
      </c>
      <c r="B46" s="36" t="s">
        <v>311</v>
      </c>
      <c r="C46" s="59">
        <v>40</v>
      </c>
      <c r="D46" s="29">
        <v>0</v>
      </c>
      <c r="E46" s="29">
        <v>863</v>
      </c>
      <c r="F46" s="461">
        <v>0</v>
      </c>
      <c r="G46" s="30">
        <f t="shared" si="1"/>
        <v>0</v>
      </c>
      <c r="H46" s="30">
        <f t="shared" si="0"/>
        <v>0</v>
      </c>
    </row>
    <row r="47" spans="1:8" s="34" customFormat="1" ht="12" customHeight="1">
      <c r="A47" s="161" t="s">
        <v>736</v>
      </c>
      <c r="B47" s="36" t="s">
        <v>312</v>
      </c>
      <c r="C47" s="59">
        <v>291493</v>
      </c>
      <c r="D47" s="29">
        <v>0</v>
      </c>
      <c r="E47" s="29">
        <v>447522</v>
      </c>
      <c r="F47" s="461">
        <v>0</v>
      </c>
      <c r="G47" s="30">
        <f t="shared" si="1"/>
        <v>0</v>
      </c>
      <c r="H47" s="30">
        <f t="shared" si="0"/>
        <v>0</v>
      </c>
    </row>
    <row r="48" spans="1:8" s="533" customFormat="1" ht="12" customHeight="1">
      <c r="A48" s="531"/>
      <c r="B48" s="532" t="s">
        <v>768</v>
      </c>
      <c r="C48" s="494">
        <f>SUM(C34:C47)-C36-C41-C44</f>
        <v>896279</v>
      </c>
      <c r="D48" s="494">
        <f>SUM(D34:D47)-D36-D41-D44</f>
        <v>279471</v>
      </c>
      <c r="E48" s="494">
        <f>SUM(E34:E47)-E36-E41-E44</f>
        <v>1182158</v>
      </c>
      <c r="F48" s="494">
        <f>SUM(F34:F47)-F36-F41-F44</f>
        <v>313185</v>
      </c>
      <c r="G48" s="502">
        <f t="shared" si="1"/>
        <v>1.1206350569468746</v>
      </c>
      <c r="H48" s="502">
        <f t="shared" si="0"/>
        <v>0.26492651574493425</v>
      </c>
    </row>
    <row r="49" spans="1:8" s="536" customFormat="1" ht="13.5">
      <c r="A49" s="534" t="s">
        <v>737</v>
      </c>
      <c r="B49" s="532" t="s">
        <v>351</v>
      </c>
      <c r="C49" s="397">
        <v>5358915</v>
      </c>
      <c r="D49" s="494">
        <v>5462008</v>
      </c>
      <c r="E49" s="494">
        <v>5703766</v>
      </c>
      <c r="F49" s="494">
        <v>5377862</v>
      </c>
      <c r="G49" s="535">
        <f t="shared" si="1"/>
        <v>0.984594310370838</v>
      </c>
      <c r="H49" s="535">
        <f t="shared" si="0"/>
        <v>0.9428616110829231</v>
      </c>
    </row>
    <row r="50" spans="1:8" s="518" customFormat="1" ht="12" customHeight="1">
      <c r="A50" s="346"/>
      <c r="B50" s="564" t="s">
        <v>197</v>
      </c>
      <c r="C50" s="947">
        <v>0</v>
      </c>
      <c r="D50" s="542">
        <v>2080559</v>
      </c>
      <c r="E50" s="542">
        <v>2083159</v>
      </c>
      <c r="F50" s="992">
        <v>2022272</v>
      </c>
      <c r="G50" s="517">
        <f t="shared" si="1"/>
        <v>0.9719849328954382</v>
      </c>
      <c r="H50" s="517">
        <f t="shared" si="0"/>
        <v>0.9707717941837373</v>
      </c>
    </row>
    <row r="51" spans="1:8" s="518" customFormat="1" ht="12" customHeight="1">
      <c r="A51" s="346"/>
      <c r="B51" s="565" t="s">
        <v>675</v>
      </c>
      <c r="C51" s="948">
        <v>0</v>
      </c>
      <c r="D51" s="545">
        <v>54060</v>
      </c>
      <c r="E51" s="545">
        <v>58616</v>
      </c>
      <c r="F51" s="992">
        <v>53380</v>
      </c>
      <c r="G51" s="648">
        <f>IF(D51=0,0,F51/D51)</f>
        <v>0.9874213836477987</v>
      </c>
      <c r="H51" s="648">
        <f>IF(E51=0,0,F51/E51)</f>
        <v>0.9106728538283063</v>
      </c>
    </row>
    <row r="52" spans="1:8" s="536" customFormat="1" ht="13.5" customHeight="1">
      <c r="A52" s="566"/>
      <c r="B52" s="567" t="s">
        <v>749</v>
      </c>
      <c r="C52" s="793">
        <f>SUM(C48,C49)</f>
        <v>6255194</v>
      </c>
      <c r="D52" s="568">
        <f>SUM(D48,D49)</f>
        <v>5741479</v>
      </c>
      <c r="E52" s="568">
        <f>SUM(E48,E49)</f>
        <v>6885924</v>
      </c>
      <c r="F52" s="568">
        <f>SUM(F48:F49)</f>
        <v>5691047</v>
      </c>
      <c r="G52" s="502">
        <f t="shared" si="1"/>
        <v>0.9912162005643493</v>
      </c>
      <c r="H52" s="502">
        <f t="shared" si="0"/>
        <v>0.8264754301673966</v>
      </c>
    </row>
  </sheetData>
  <sheetProtection password="CC08"/>
  <mergeCells count="4">
    <mergeCell ref="A1:H1"/>
    <mergeCell ref="A2:H2"/>
    <mergeCell ref="A3:H3"/>
    <mergeCell ref="A4:H4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CE,Normál"3/a. számú melléklet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ntry="1"/>
  <dimension ref="A1:H53"/>
  <sheetViews>
    <sheetView workbookViewId="0" topLeftCell="A28">
      <selection activeCell="E51" sqref="E51"/>
    </sheetView>
  </sheetViews>
  <sheetFormatPr defaultColWidth="9.140625" defaultRowHeight="12.75"/>
  <cols>
    <col min="1" max="1" width="4.140625" style="8" customWidth="1"/>
    <col min="2" max="2" width="38.57421875" style="10" customWidth="1"/>
    <col min="3" max="3" width="9.8515625" style="10" customWidth="1"/>
    <col min="4" max="4" width="10.28125" style="543" customWidth="1"/>
    <col min="5" max="6" width="10.28125" style="9" customWidth="1"/>
    <col min="7" max="7" width="8.8515625" style="3" customWidth="1"/>
    <col min="8" max="8" width="8.57421875" style="3" customWidth="1"/>
    <col min="9" max="16384" width="8.8515625" style="3" customWidth="1"/>
  </cols>
  <sheetData>
    <row r="1" spans="1:8" ht="15.75">
      <c r="A1" s="1342" t="s">
        <v>426</v>
      </c>
      <c r="B1" s="1343"/>
      <c r="C1" s="1343"/>
      <c r="D1" s="1343"/>
      <c r="E1" s="1343"/>
      <c r="F1" s="1343"/>
      <c r="G1" s="1343"/>
      <c r="H1" s="1343"/>
    </row>
    <row r="2" spans="1:8" ht="15.75">
      <c r="A2" s="1348" t="s">
        <v>903</v>
      </c>
      <c r="B2" s="1345"/>
      <c r="C2" s="1345"/>
      <c r="D2" s="1345"/>
      <c r="E2" s="1345"/>
      <c r="F2" s="1345"/>
      <c r="G2" s="1345"/>
      <c r="H2" s="1345"/>
    </row>
    <row r="3" spans="1:8" ht="15.75">
      <c r="A3" s="1348" t="s">
        <v>759</v>
      </c>
      <c r="B3" s="1345"/>
      <c r="C3" s="1345"/>
      <c r="D3" s="1345"/>
      <c r="E3" s="1345"/>
      <c r="F3" s="1345"/>
      <c r="G3" s="1345"/>
      <c r="H3" s="1345"/>
    </row>
    <row r="4" spans="1:8" ht="15.75">
      <c r="A4" s="1366" t="s">
        <v>519</v>
      </c>
      <c r="B4" s="1345"/>
      <c r="C4" s="1345"/>
      <c r="D4" s="1345"/>
      <c r="E4" s="1345"/>
      <c r="F4" s="1345"/>
      <c r="G4" s="1345"/>
      <c r="H4" s="1345"/>
    </row>
    <row r="5" spans="2:8" ht="15.75" customHeight="1">
      <c r="B5" s="720"/>
      <c r="C5" s="720"/>
      <c r="D5" s="4"/>
      <c r="E5" s="4"/>
      <c r="F5" s="503"/>
      <c r="G5" s="721"/>
      <c r="H5" s="722" t="s">
        <v>128</v>
      </c>
    </row>
    <row r="6" spans="1:8" s="5" customFormat="1" ht="39.75" customHeight="1">
      <c r="A6" s="1226" t="s">
        <v>169</v>
      </c>
      <c r="B6" s="197" t="s">
        <v>129</v>
      </c>
      <c r="C6" s="725" t="s">
        <v>257</v>
      </c>
      <c r="D6" s="563" t="s">
        <v>911</v>
      </c>
      <c r="E6" s="563" t="s">
        <v>258</v>
      </c>
      <c r="F6" s="988" t="s">
        <v>249</v>
      </c>
      <c r="G6" s="723" t="s">
        <v>259</v>
      </c>
      <c r="H6" s="723" t="s">
        <v>259</v>
      </c>
    </row>
    <row r="7" spans="1:8" s="5" customFormat="1" ht="12" customHeight="1">
      <c r="A7" s="197" t="s">
        <v>524</v>
      </c>
      <c r="B7" s="445" t="s">
        <v>525</v>
      </c>
      <c r="C7" s="445" t="s">
        <v>526</v>
      </c>
      <c r="D7" s="445" t="s">
        <v>729</v>
      </c>
      <c r="E7" s="445" t="s">
        <v>730</v>
      </c>
      <c r="F7" s="989" t="s">
        <v>731</v>
      </c>
      <c r="G7" s="724" t="s">
        <v>250</v>
      </c>
      <c r="H7" s="724" t="s">
        <v>251</v>
      </c>
    </row>
    <row r="8" spans="1:8" s="6" customFormat="1" ht="12" customHeight="1">
      <c r="A8" s="198"/>
      <c r="B8" s="452" t="s">
        <v>739</v>
      </c>
      <c r="C8" s="952">
        <v>164</v>
      </c>
      <c r="D8" s="544">
        <v>178.5</v>
      </c>
      <c r="E8" s="544">
        <v>162</v>
      </c>
      <c r="F8" s="58">
        <v>166.5</v>
      </c>
      <c r="G8" s="453"/>
      <c r="H8" s="453"/>
    </row>
    <row r="9" spans="1:8" s="533" customFormat="1" ht="12" customHeight="1">
      <c r="A9" s="531"/>
      <c r="B9" s="532" t="s">
        <v>459</v>
      </c>
      <c r="C9" s="793"/>
      <c r="D9" s="541"/>
      <c r="E9" s="541"/>
      <c r="F9" s="494"/>
      <c r="G9" s="453"/>
      <c r="H9" s="453"/>
    </row>
    <row r="10" spans="1:8" s="7" customFormat="1" ht="12" customHeight="1">
      <c r="A10" s="199" t="s">
        <v>524</v>
      </c>
      <c r="B10" s="449" t="s">
        <v>460</v>
      </c>
      <c r="C10" s="958">
        <v>349758</v>
      </c>
      <c r="D10" s="495">
        <v>383301</v>
      </c>
      <c r="E10" s="495">
        <v>379863</v>
      </c>
      <c r="F10" s="461">
        <v>340024</v>
      </c>
      <c r="G10" s="648">
        <f>IF(D10=0,0,F10/D10)</f>
        <v>0.8870939548814117</v>
      </c>
      <c r="H10" s="648">
        <f aca="true" t="shared" si="0" ref="H10:H51">IF(E10=0,0,F10/E10)</f>
        <v>0.8951227152947246</v>
      </c>
    </row>
    <row r="11" spans="1:8" s="7" customFormat="1" ht="12" customHeight="1">
      <c r="A11" s="199" t="s">
        <v>525</v>
      </c>
      <c r="B11" s="450" t="s">
        <v>461</v>
      </c>
      <c r="C11" s="964">
        <f>SUM(C12:C15)</f>
        <v>111045</v>
      </c>
      <c r="D11" s="495">
        <f>SUM(D12:D15)</f>
        <v>121926</v>
      </c>
      <c r="E11" s="495">
        <f>SUM(E12:E15)</f>
        <v>119032</v>
      </c>
      <c r="F11" s="461">
        <f>SUM(F12:F15)</f>
        <v>107914</v>
      </c>
      <c r="G11" s="648">
        <f aca="true" t="shared" si="1" ref="G11:G51">IF(D11=0,0,F11/D11)</f>
        <v>0.8850778340960911</v>
      </c>
      <c r="H11" s="648">
        <f t="shared" si="0"/>
        <v>0.9065965454667653</v>
      </c>
    </row>
    <row r="12" spans="1:8" s="7" customFormat="1" ht="12" customHeight="1">
      <c r="A12" s="199"/>
      <c r="B12" s="447" t="s">
        <v>316</v>
      </c>
      <c r="C12" s="959">
        <v>95056</v>
      </c>
      <c r="D12" s="495">
        <v>106767</v>
      </c>
      <c r="E12" s="495">
        <v>104452</v>
      </c>
      <c r="F12" s="461">
        <v>94870</v>
      </c>
      <c r="G12" s="648">
        <f t="shared" si="1"/>
        <v>0.8885704384313505</v>
      </c>
      <c r="H12" s="648">
        <f t="shared" si="0"/>
        <v>0.9082640830237813</v>
      </c>
    </row>
    <row r="13" spans="1:8" s="7" customFormat="1" ht="12" customHeight="1">
      <c r="A13" s="199"/>
      <c r="B13" s="447" t="s">
        <v>198</v>
      </c>
      <c r="C13" s="959">
        <v>8775</v>
      </c>
      <c r="D13" s="495">
        <v>10021</v>
      </c>
      <c r="E13" s="495">
        <v>9993</v>
      </c>
      <c r="F13" s="461">
        <v>9110</v>
      </c>
      <c r="G13" s="648">
        <f t="shared" si="1"/>
        <v>0.9090909090909091</v>
      </c>
      <c r="H13" s="648">
        <f t="shared" si="0"/>
        <v>0.9116381467026918</v>
      </c>
    </row>
    <row r="14" spans="1:8" s="7" customFormat="1" ht="12" customHeight="1">
      <c r="A14" s="199"/>
      <c r="B14" s="447" t="s">
        <v>199</v>
      </c>
      <c r="C14" s="959">
        <v>6833</v>
      </c>
      <c r="D14" s="495">
        <v>3938</v>
      </c>
      <c r="E14" s="495">
        <v>4066</v>
      </c>
      <c r="F14" s="461">
        <v>3324</v>
      </c>
      <c r="G14" s="648">
        <f t="shared" si="1"/>
        <v>0.8440832910106653</v>
      </c>
      <c r="H14" s="648">
        <f t="shared" si="0"/>
        <v>0.8175110673880964</v>
      </c>
    </row>
    <row r="15" spans="1:8" s="7" customFormat="1" ht="12" customHeight="1">
      <c r="A15" s="199"/>
      <c r="B15" s="447" t="s">
        <v>315</v>
      </c>
      <c r="C15" s="959">
        <v>381</v>
      </c>
      <c r="D15" s="495">
        <v>1200</v>
      </c>
      <c r="E15" s="495">
        <v>521</v>
      </c>
      <c r="F15" s="461">
        <v>610</v>
      </c>
      <c r="G15" s="648">
        <f t="shared" si="1"/>
        <v>0.5083333333333333</v>
      </c>
      <c r="H15" s="648">
        <f t="shared" si="0"/>
        <v>1.1708253358925145</v>
      </c>
    </row>
    <row r="16" spans="1:8" s="7" customFormat="1" ht="12" customHeight="1">
      <c r="A16" s="199" t="s">
        <v>526</v>
      </c>
      <c r="B16" s="449" t="s">
        <v>462</v>
      </c>
      <c r="C16" s="958">
        <v>170496</v>
      </c>
      <c r="D16" s="495">
        <v>115469</v>
      </c>
      <c r="E16" s="495">
        <v>149998</v>
      </c>
      <c r="F16" s="461">
        <v>127249</v>
      </c>
      <c r="G16" s="648">
        <f t="shared" si="1"/>
        <v>1.102018723640111</v>
      </c>
      <c r="H16" s="648">
        <f t="shared" si="0"/>
        <v>0.8483379778397045</v>
      </c>
    </row>
    <row r="17" spans="1:8" s="6" customFormat="1" ht="24" customHeight="1">
      <c r="A17" s="198" t="s">
        <v>729</v>
      </c>
      <c r="B17" s="460" t="s">
        <v>195</v>
      </c>
      <c r="C17" s="954">
        <f>SUM(C18,C20)</f>
        <v>0</v>
      </c>
      <c r="D17" s="461">
        <f>SUM(D18,D20)</f>
        <v>0</v>
      </c>
      <c r="E17" s="461">
        <f>SUM(E18,E20)</f>
        <v>11922</v>
      </c>
      <c r="F17" s="461">
        <f>SUM(F18,F20)</f>
        <v>0</v>
      </c>
      <c r="G17" s="637">
        <f t="shared" si="1"/>
        <v>0</v>
      </c>
      <c r="H17" s="547">
        <f t="shared" si="0"/>
        <v>0</v>
      </c>
    </row>
    <row r="18" spans="1:8" s="7" customFormat="1" ht="12" customHeight="1">
      <c r="A18" s="583"/>
      <c r="B18" s="965" t="s">
        <v>405</v>
      </c>
      <c r="C18" s="966">
        <v>0</v>
      </c>
      <c r="D18" s="496">
        <v>0</v>
      </c>
      <c r="E18" s="496">
        <v>11922</v>
      </c>
      <c r="F18" s="580">
        <v>0</v>
      </c>
      <c r="G18" s="517">
        <f t="shared" si="1"/>
        <v>0</v>
      </c>
      <c r="H18" s="967">
        <f t="shared" si="0"/>
        <v>0</v>
      </c>
    </row>
    <row r="19" spans="1:8" s="7" customFormat="1" ht="12" customHeight="1">
      <c r="A19" s="581"/>
      <c r="B19" s="968" t="s">
        <v>447</v>
      </c>
      <c r="C19" s="969">
        <v>0</v>
      </c>
      <c r="D19" s="497"/>
      <c r="E19" s="497">
        <v>0</v>
      </c>
      <c r="F19" s="990">
        <v>0</v>
      </c>
      <c r="G19" s="970">
        <f t="shared" si="1"/>
        <v>0</v>
      </c>
      <c r="H19" s="971">
        <f t="shared" si="0"/>
        <v>0</v>
      </c>
    </row>
    <row r="20" spans="1:8" s="7" customFormat="1" ht="24" customHeight="1">
      <c r="A20" s="199"/>
      <c r="B20" s="972" t="s">
        <v>406</v>
      </c>
      <c r="C20" s="973">
        <v>0</v>
      </c>
      <c r="D20" s="495">
        <v>0</v>
      </c>
      <c r="E20" s="495">
        <v>0</v>
      </c>
      <c r="F20" s="461">
        <v>0</v>
      </c>
      <c r="G20" s="970">
        <f t="shared" si="1"/>
        <v>0</v>
      </c>
      <c r="H20" s="648">
        <f t="shared" si="0"/>
        <v>0</v>
      </c>
    </row>
    <row r="21" spans="1:8" s="7" customFormat="1" ht="12" customHeight="1">
      <c r="A21" s="199" t="s">
        <v>730</v>
      </c>
      <c r="B21" s="449" t="s">
        <v>185</v>
      </c>
      <c r="C21" s="958">
        <v>212</v>
      </c>
      <c r="D21" s="495">
        <v>0</v>
      </c>
      <c r="E21" s="495">
        <v>0</v>
      </c>
      <c r="F21" s="461">
        <v>0</v>
      </c>
      <c r="G21" s="648">
        <f t="shared" si="1"/>
        <v>0</v>
      </c>
      <c r="H21" s="648">
        <f t="shared" si="0"/>
        <v>0</v>
      </c>
    </row>
    <row r="22" spans="1:8" s="7" customFormat="1" ht="12" customHeight="1">
      <c r="A22" s="199" t="s">
        <v>731</v>
      </c>
      <c r="B22" s="449" t="s">
        <v>83</v>
      </c>
      <c r="C22" s="958">
        <v>0</v>
      </c>
      <c r="D22" s="495">
        <v>0</v>
      </c>
      <c r="E22" s="495">
        <v>0</v>
      </c>
      <c r="F22" s="461">
        <v>0</v>
      </c>
      <c r="G22" s="648">
        <f>IF(D22=0,0,F22/D22)</f>
        <v>0</v>
      </c>
      <c r="H22" s="648">
        <f>IF(E22=0,0,F22/E22)</f>
        <v>0</v>
      </c>
    </row>
    <row r="23" spans="1:8" s="536" customFormat="1" ht="13.5">
      <c r="A23" s="531" t="s">
        <v>805</v>
      </c>
      <c r="B23" s="532" t="s">
        <v>317</v>
      </c>
      <c r="C23" s="568">
        <f>SUM(C10,C11,C16,C17,C21,C22)</f>
        <v>631511</v>
      </c>
      <c r="D23" s="568">
        <f>SUM(D10,D11,D16,D17,D21,D22)</f>
        <v>620696</v>
      </c>
      <c r="E23" s="568">
        <f>SUM(E10,E11,E16,E17,E21,E22)</f>
        <v>660815</v>
      </c>
      <c r="F23" s="568">
        <f>SUM(F10,F11,F16,F17,F21,F22)</f>
        <v>575187</v>
      </c>
      <c r="G23" s="502">
        <f t="shared" si="1"/>
        <v>0.9266806939306843</v>
      </c>
      <c r="H23" s="502">
        <f t="shared" si="0"/>
        <v>0.870420616965414</v>
      </c>
    </row>
    <row r="24" spans="1:8" s="7" customFormat="1" ht="12" customHeight="1">
      <c r="A24" s="199" t="s">
        <v>732</v>
      </c>
      <c r="B24" s="449" t="s">
        <v>200</v>
      </c>
      <c r="C24" s="958">
        <v>8201</v>
      </c>
      <c r="D24" s="495">
        <v>0</v>
      </c>
      <c r="E24" s="495">
        <v>47573</v>
      </c>
      <c r="F24" s="461">
        <v>0</v>
      </c>
      <c r="G24" s="648">
        <f t="shared" si="1"/>
        <v>0</v>
      </c>
      <c r="H24" s="648">
        <f t="shared" si="0"/>
        <v>0</v>
      </c>
    </row>
    <row r="25" spans="1:8" s="7" customFormat="1" ht="12" customHeight="1">
      <c r="A25" s="199" t="s">
        <v>733</v>
      </c>
      <c r="B25" s="449" t="s">
        <v>203</v>
      </c>
      <c r="C25" s="958">
        <v>5904</v>
      </c>
      <c r="D25" s="495">
        <v>0</v>
      </c>
      <c r="E25" s="495">
        <v>3098</v>
      </c>
      <c r="F25" s="461">
        <v>0</v>
      </c>
      <c r="G25" s="648">
        <f t="shared" si="1"/>
        <v>0</v>
      </c>
      <c r="H25" s="648">
        <f t="shared" si="0"/>
        <v>0</v>
      </c>
    </row>
    <row r="26" spans="1:8" s="6" customFormat="1" ht="25.5" customHeight="1">
      <c r="A26" s="198" t="s">
        <v>734</v>
      </c>
      <c r="B26" s="460" t="s">
        <v>196</v>
      </c>
      <c r="C26" s="955">
        <f>SUM(C28,C30)</f>
        <v>0</v>
      </c>
      <c r="D26" s="461">
        <f>SUM(D28,D30)</f>
        <v>0</v>
      </c>
      <c r="E26" s="461">
        <f>SUM(E28,E30)</f>
        <v>0</v>
      </c>
      <c r="F26" s="461">
        <f>SUM(F28,F30)</f>
        <v>0</v>
      </c>
      <c r="G26" s="648">
        <f t="shared" si="1"/>
        <v>0</v>
      </c>
      <c r="H26" s="648">
        <f t="shared" si="0"/>
        <v>0</v>
      </c>
    </row>
    <row r="27" spans="1:8" s="7" customFormat="1" ht="12" customHeight="1" hidden="1">
      <c r="A27" s="199"/>
      <c r="B27" s="446"/>
      <c r="C27" s="963"/>
      <c r="D27" s="495"/>
      <c r="E27" s="495"/>
      <c r="F27" s="461"/>
      <c r="G27" s="648">
        <f t="shared" si="1"/>
        <v>0</v>
      </c>
      <c r="H27" s="648">
        <f t="shared" si="0"/>
        <v>0</v>
      </c>
    </row>
    <row r="28" spans="1:8" s="7" customFormat="1" ht="12" customHeight="1">
      <c r="A28" s="583"/>
      <c r="B28" s="965" t="s">
        <v>407</v>
      </c>
      <c r="C28" s="966">
        <v>0</v>
      </c>
      <c r="D28" s="496">
        <v>0</v>
      </c>
      <c r="E28" s="496">
        <v>0</v>
      </c>
      <c r="F28" s="580">
        <v>0</v>
      </c>
      <c r="G28" s="517">
        <f t="shared" si="1"/>
        <v>0</v>
      </c>
      <c r="H28" s="517">
        <f t="shared" si="0"/>
        <v>0</v>
      </c>
    </row>
    <row r="29" spans="1:8" s="7" customFormat="1" ht="12" customHeight="1">
      <c r="A29" s="581"/>
      <c r="B29" s="968" t="s">
        <v>447</v>
      </c>
      <c r="C29" s="969">
        <v>0</v>
      </c>
      <c r="D29" s="497">
        <v>0</v>
      </c>
      <c r="E29" s="497">
        <v>0</v>
      </c>
      <c r="F29" s="990">
        <v>0</v>
      </c>
      <c r="G29" s="970">
        <f t="shared" si="1"/>
        <v>0</v>
      </c>
      <c r="H29" s="970">
        <f t="shared" si="0"/>
        <v>0</v>
      </c>
    </row>
    <row r="30" spans="1:8" s="7" customFormat="1" ht="24" customHeight="1">
      <c r="A30" s="199"/>
      <c r="B30" s="972" t="s">
        <v>408</v>
      </c>
      <c r="C30" s="973">
        <v>0</v>
      </c>
      <c r="D30" s="495">
        <v>0</v>
      </c>
      <c r="E30" s="495">
        <v>0</v>
      </c>
      <c r="F30" s="461">
        <v>0</v>
      </c>
      <c r="G30" s="648">
        <f t="shared" si="1"/>
        <v>0</v>
      </c>
      <c r="H30" s="648">
        <f t="shared" si="0"/>
        <v>0</v>
      </c>
    </row>
    <row r="31" spans="1:8" s="533" customFormat="1" ht="12" customHeight="1">
      <c r="A31" s="531" t="s">
        <v>327</v>
      </c>
      <c r="B31" s="532" t="s">
        <v>318</v>
      </c>
      <c r="C31" s="956">
        <f>SUM(C24,C25,C26)</f>
        <v>14105</v>
      </c>
      <c r="D31" s="494">
        <f>SUM(D24,D25,D26)</f>
        <v>0</v>
      </c>
      <c r="E31" s="494">
        <f>SUM(E24,E25,E26)</f>
        <v>50671</v>
      </c>
      <c r="F31" s="494">
        <f>SUM(F24,F25,F26)</f>
        <v>0</v>
      </c>
      <c r="G31" s="502">
        <f t="shared" si="1"/>
        <v>0</v>
      </c>
      <c r="H31" s="502">
        <f t="shared" si="0"/>
        <v>0</v>
      </c>
    </row>
    <row r="32" spans="1:8" s="533" customFormat="1" ht="13.5" customHeight="1">
      <c r="A32" s="531"/>
      <c r="B32" s="532" t="s">
        <v>756</v>
      </c>
      <c r="C32" s="956">
        <f>SUM(C23,C24:C26)</f>
        <v>645616</v>
      </c>
      <c r="D32" s="494">
        <f>SUM(D23,D24:D26)</f>
        <v>620696</v>
      </c>
      <c r="E32" s="494">
        <f>SUM(E23,E24:E26)</f>
        <v>711486</v>
      </c>
      <c r="F32" s="494">
        <f>SUM(F23,F24:F26)</f>
        <v>575187</v>
      </c>
      <c r="G32" s="502">
        <f t="shared" si="1"/>
        <v>0.9266806939306843</v>
      </c>
      <c r="H32" s="502">
        <f t="shared" si="0"/>
        <v>0.8084305242829796</v>
      </c>
    </row>
    <row r="33" spans="1:8" s="533" customFormat="1" ht="12" customHeight="1">
      <c r="A33" s="531"/>
      <c r="B33" s="974" t="s">
        <v>319</v>
      </c>
      <c r="C33" s="975"/>
      <c r="D33" s="495"/>
      <c r="E33" s="495"/>
      <c r="F33" s="461"/>
      <c r="G33" s="648"/>
      <c r="H33" s="648"/>
    </row>
    <row r="34" spans="1:8" s="533" customFormat="1" ht="12" customHeight="1">
      <c r="A34" s="199" t="s">
        <v>524</v>
      </c>
      <c r="B34" s="976" t="s">
        <v>400</v>
      </c>
      <c r="C34" s="977">
        <v>0</v>
      </c>
      <c r="D34" s="495">
        <v>0</v>
      </c>
      <c r="E34" s="495">
        <v>0</v>
      </c>
      <c r="F34" s="461">
        <v>0</v>
      </c>
      <c r="G34" s="648">
        <f t="shared" si="1"/>
        <v>0</v>
      </c>
      <c r="H34" s="648">
        <f t="shared" si="0"/>
        <v>0</v>
      </c>
    </row>
    <row r="35" spans="1:8" s="533" customFormat="1" ht="24" customHeight="1">
      <c r="A35" s="583" t="s">
        <v>525</v>
      </c>
      <c r="B35" s="978" t="s">
        <v>791</v>
      </c>
      <c r="C35" s="979">
        <v>42176</v>
      </c>
      <c r="D35" s="496">
        <v>45079</v>
      </c>
      <c r="E35" s="496">
        <v>44909</v>
      </c>
      <c r="F35" s="580">
        <v>48015</v>
      </c>
      <c r="G35" s="517">
        <f t="shared" si="1"/>
        <v>1.0651301049269062</v>
      </c>
      <c r="H35" s="517">
        <f t="shared" si="0"/>
        <v>1.0691620833240554</v>
      </c>
    </row>
    <row r="36" spans="1:8" s="533" customFormat="1" ht="12" customHeight="1">
      <c r="A36" s="581"/>
      <c r="B36" s="980" t="s">
        <v>396</v>
      </c>
      <c r="C36" s="981">
        <v>3331</v>
      </c>
      <c r="D36" s="497">
        <v>3530</v>
      </c>
      <c r="E36" s="497">
        <v>4651</v>
      </c>
      <c r="F36" s="990">
        <v>4700</v>
      </c>
      <c r="G36" s="970">
        <f t="shared" si="1"/>
        <v>1.3314447592067988</v>
      </c>
      <c r="H36" s="970">
        <f t="shared" si="0"/>
        <v>1.0105353687379057</v>
      </c>
    </row>
    <row r="37" spans="1:8" s="533" customFormat="1" ht="12" customHeight="1">
      <c r="A37" s="199" t="s">
        <v>526</v>
      </c>
      <c r="B37" s="36" t="s">
        <v>726</v>
      </c>
      <c r="C37" s="498">
        <v>718</v>
      </c>
      <c r="D37" s="495">
        <v>792</v>
      </c>
      <c r="E37" s="495">
        <v>894</v>
      </c>
      <c r="F37" s="461">
        <v>1022</v>
      </c>
      <c r="G37" s="970">
        <f t="shared" si="1"/>
        <v>1.2904040404040404</v>
      </c>
      <c r="H37" s="970">
        <f t="shared" si="0"/>
        <v>1.1431767337807606</v>
      </c>
    </row>
    <row r="38" spans="1:8" s="533" customFormat="1" ht="12" customHeight="1">
      <c r="A38" s="199" t="s">
        <v>729</v>
      </c>
      <c r="B38" s="449" t="s">
        <v>607</v>
      </c>
      <c r="C38" s="498">
        <v>1</v>
      </c>
      <c r="D38" s="495">
        <v>0</v>
      </c>
      <c r="E38" s="495">
        <v>6</v>
      </c>
      <c r="F38" s="461">
        <v>0</v>
      </c>
      <c r="G38" s="648">
        <f t="shared" si="1"/>
        <v>0</v>
      </c>
      <c r="H38" s="648">
        <f t="shared" si="0"/>
        <v>0</v>
      </c>
    </row>
    <row r="39" spans="1:8" s="533" customFormat="1" ht="12" customHeight="1">
      <c r="A39" s="199" t="s">
        <v>730</v>
      </c>
      <c r="B39" s="449" t="s">
        <v>349</v>
      </c>
      <c r="C39" s="499">
        <v>5119</v>
      </c>
      <c r="D39" s="495">
        <v>4947</v>
      </c>
      <c r="E39" s="495">
        <v>5808</v>
      </c>
      <c r="F39" s="461">
        <v>6793</v>
      </c>
      <c r="G39" s="648">
        <f t="shared" si="1"/>
        <v>1.3731554477461088</v>
      </c>
      <c r="H39" s="648">
        <f t="shared" si="0"/>
        <v>1.1695936639118458</v>
      </c>
    </row>
    <row r="40" spans="1:8" s="533" customFormat="1" ht="25.5" customHeight="1">
      <c r="A40" s="583" t="s">
        <v>731</v>
      </c>
      <c r="B40" s="982" t="s">
        <v>192</v>
      </c>
      <c r="C40" s="983">
        <v>45924</v>
      </c>
      <c r="D40" s="496">
        <v>0</v>
      </c>
      <c r="E40" s="496">
        <v>46387</v>
      </c>
      <c r="F40" s="580">
        <v>0</v>
      </c>
      <c r="G40" s="517">
        <f t="shared" si="1"/>
        <v>0</v>
      </c>
      <c r="H40" s="517">
        <v>0</v>
      </c>
    </row>
    <row r="41" spans="1:8" s="533" customFormat="1" ht="12" customHeight="1">
      <c r="A41" s="581"/>
      <c r="B41" s="968" t="s">
        <v>447</v>
      </c>
      <c r="C41" s="981">
        <v>0</v>
      </c>
      <c r="D41" s="497">
        <v>0</v>
      </c>
      <c r="E41" s="497">
        <v>45960</v>
      </c>
      <c r="F41" s="990">
        <v>0</v>
      </c>
      <c r="G41" s="970">
        <f t="shared" si="1"/>
        <v>0</v>
      </c>
      <c r="H41" s="970">
        <f t="shared" si="0"/>
        <v>0</v>
      </c>
    </row>
    <row r="42" spans="1:8" s="533" customFormat="1" ht="24" customHeight="1">
      <c r="A42" s="199" t="s">
        <v>732</v>
      </c>
      <c r="B42" s="984" t="s">
        <v>625</v>
      </c>
      <c r="C42" s="985">
        <v>719</v>
      </c>
      <c r="D42" s="495">
        <v>0</v>
      </c>
      <c r="E42" s="495">
        <v>956</v>
      </c>
      <c r="F42" s="580">
        <v>0</v>
      </c>
      <c r="G42" s="648">
        <f t="shared" si="1"/>
        <v>0</v>
      </c>
      <c r="H42" s="648">
        <f t="shared" si="0"/>
        <v>0</v>
      </c>
    </row>
    <row r="43" spans="1:8" s="533" customFormat="1" ht="12" customHeight="1">
      <c r="A43" s="583" t="s">
        <v>733</v>
      </c>
      <c r="B43" s="982" t="s">
        <v>194</v>
      </c>
      <c r="C43" s="983">
        <v>0</v>
      </c>
      <c r="D43" s="496">
        <v>0</v>
      </c>
      <c r="E43" s="496">
        <v>4030</v>
      </c>
      <c r="F43" s="580">
        <v>0</v>
      </c>
      <c r="G43" s="517">
        <f t="shared" si="1"/>
        <v>0</v>
      </c>
      <c r="H43" s="517">
        <f t="shared" si="0"/>
        <v>0</v>
      </c>
    </row>
    <row r="44" spans="1:8" s="533" customFormat="1" ht="12" customHeight="1">
      <c r="A44" s="581"/>
      <c r="B44" s="968" t="s">
        <v>447</v>
      </c>
      <c r="C44" s="981">
        <v>0</v>
      </c>
      <c r="D44" s="497">
        <v>0</v>
      </c>
      <c r="E44" s="497">
        <v>4030</v>
      </c>
      <c r="F44" s="990">
        <v>0</v>
      </c>
      <c r="G44" s="970">
        <f t="shared" si="1"/>
        <v>0</v>
      </c>
      <c r="H44" s="970">
        <f t="shared" si="0"/>
        <v>0</v>
      </c>
    </row>
    <row r="45" spans="1:8" s="533" customFormat="1" ht="24" customHeight="1">
      <c r="A45" s="199" t="s">
        <v>734</v>
      </c>
      <c r="B45" s="984" t="s">
        <v>418</v>
      </c>
      <c r="C45" s="986">
        <v>536</v>
      </c>
      <c r="D45" s="495">
        <v>0</v>
      </c>
      <c r="E45" s="495">
        <v>0</v>
      </c>
      <c r="F45" s="990">
        <v>0</v>
      </c>
      <c r="G45" s="648">
        <f t="shared" si="1"/>
        <v>0</v>
      </c>
      <c r="H45" s="648">
        <f t="shared" si="0"/>
        <v>0</v>
      </c>
    </row>
    <row r="46" spans="1:8" s="533" customFormat="1" ht="12" customHeight="1">
      <c r="A46" s="199" t="s">
        <v>735</v>
      </c>
      <c r="B46" s="449" t="s">
        <v>311</v>
      </c>
      <c r="C46" s="498">
        <v>0</v>
      </c>
      <c r="D46" s="495">
        <v>0</v>
      </c>
      <c r="E46" s="495">
        <v>0</v>
      </c>
      <c r="F46" s="461">
        <v>0</v>
      </c>
      <c r="G46" s="648">
        <f t="shared" si="1"/>
        <v>0</v>
      </c>
      <c r="H46" s="648">
        <f t="shared" si="0"/>
        <v>0</v>
      </c>
    </row>
    <row r="47" spans="1:8" s="533" customFormat="1" ht="12" customHeight="1">
      <c r="A47" s="199" t="s">
        <v>736</v>
      </c>
      <c r="B47" s="449" t="s">
        <v>312</v>
      </c>
      <c r="C47" s="498">
        <v>49171</v>
      </c>
      <c r="D47" s="495">
        <v>0</v>
      </c>
      <c r="E47" s="495">
        <v>63920</v>
      </c>
      <c r="F47" s="461">
        <v>0</v>
      </c>
      <c r="G47" s="648">
        <f t="shared" si="1"/>
        <v>0</v>
      </c>
      <c r="H47" s="648">
        <f t="shared" si="0"/>
        <v>0</v>
      </c>
    </row>
    <row r="48" spans="1:8" s="533" customFormat="1" ht="12" customHeight="1">
      <c r="A48" s="531"/>
      <c r="B48" s="532" t="s">
        <v>768</v>
      </c>
      <c r="C48" s="494">
        <f>SUM(C34:C47)-C36-C41-C44</f>
        <v>144364</v>
      </c>
      <c r="D48" s="494">
        <f>SUM(D34:D47)-D36-D41-D44</f>
        <v>50818</v>
      </c>
      <c r="E48" s="494">
        <f>SUM(E34:E47)-E36-E41-E44</f>
        <v>166910</v>
      </c>
      <c r="F48" s="494">
        <f>SUM(F34:F47)-F36-F41-F44</f>
        <v>55830</v>
      </c>
      <c r="G48" s="502">
        <f t="shared" si="1"/>
        <v>1.0986264709354954</v>
      </c>
      <c r="H48" s="502">
        <f t="shared" si="0"/>
        <v>0.33449164220238453</v>
      </c>
    </row>
    <row r="49" spans="1:8" s="536" customFormat="1" ht="13.5">
      <c r="A49" s="537" t="s">
        <v>737</v>
      </c>
      <c r="B49" s="532" t="s">
        <v>351</v>
      </c>
      <c r="C49" s="397">
        <v>559603</v>
      </c>
      <c r="D49" s="494">
        <v>569878</v>
      </c>
      <c r="E49" s="494">
        <v>607163</v>
      </c>
      <c r="F49" s="494">
        <v>519357</v>
      </c>
      <c r="G49" s="535">
        <f t="shared" si="1"/>
        <v>0.9113476919621393</v>
      </c>
      <c r="H49" s="535">
        <f t="shared" si="0"/>
        <v>0.8553831508178199</v>
      </c>
    </row>
    <row r="50" spans="1:8" s="536" customFormat="1" ht="12" customHeight="1">
      <c r="A50" s="346"/>
      <c r="B50" s="987" t="s">
        <v>197</v>
      </c>
      <c r="C50" s="947">
        <v>0</v>
      </c>
      <c r="D50" s="545">
        <v>219359</v>
      </c>
      <c r="E50" s="545">
        <v>201991</v>
      </c>
      <c r="F50" s="992">
        <v>172116</v>
      </c>
      <c r="G50" s="517">
        <f t="shared" si="1"/>
        <v>0.7846315856655073</v>
      </c>
      <c r="H50" s="517">
        <f t="shared" si="0"/>
        <v>0.8520973706749311</v>
      </c>
    </row>
    <row r="51" spans="1:8" s="536" customFormat="1" ht="12" customHeight="1">
      <c r="A51" s="346"/>
      <c r="B51" s="565" t="s">
        <v>398</v>
      </c>
      <c r="C51" s="948">
        <v>0</v>
      </c>
      <c r="D51" s="545">
        <v>0</v>
      </c>
      <c r="E51" s="545">
        <v>0</v>
      </c>
      <c r="F51" s="992">
        <v>0</v>
      </c>
      <c r="G51" s="517">
        <f t="shared" si="1"/>
        <v>0</v>
      </c>
      <c r="H51" s="517">
        <f t="shared" si="0"/>
        <v>0</v>
      </c>
    </row>
    <row r="52" spans="1:8" s="536" customFormat="1" ht="13.5" customHeight="1">
      <c r="A52" s="566"/>
      <c r="B52" s="567" t="s">
        <v>749</v>
      </c>
      <c r="C52" s="793">
        <f>SUM(C48,C49)</f>
        <v>703967</v>
      </c>
      <c r="D52" s="568">
        <f>SUM(D48:D49)</f>
        <v>620696</v>
      </c>
      <c r="E52" s="568">
        <f>SUM(E48:E49)</f>
        <v>774073</v>
      </c>
      <c r="F52" s="568">
        <f>SUM(F48:F49)</f>
        <v>575187</v>
      </c>
      <c r="G52" s="502">
        <f>IF(D52=0,0,F52/D52)</f>
        <v>0.9266806939306843</v>
      </c>
      <c r="H52" s="502">
        <f>IF(E52=0,0,F52/E52)</f>
        <v>0.7430655765024746</v>
      </c>
    </row>
    <row r="53" spans="6:8" ht="15.75">
      <c r="F53" s="508"/>
      <c r="G53" s="509"/>
      <c r="H53" s="509"/>
    </row>
  </sheetData>
  <sheetProtection password="CC08"/>
  <mergeCells count="4">
    <mergeCell ref="A1:H1"/>
    <mergeCell ref="A2:H2"/>
    <mergeCell ref="A3:H3"/>
    <mergeCell ref="A4:H4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CE,Normál"3/b. számú melléklet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ntry="1"/>
  <dimension ref="A1:I53"/>
  <sheetViews>
    <sheetView workbookViewId="0" topLeftCell="A40">
      <selection activeCell="F50" sqref="F50"/>
    </sheetView>
  </sheetViews>
  <sheetFormatPr defaultColWidth="9.140625" defaultRowHeight="12.75"/>
  <cols>
    <col min="1" max="1" width="4.28125" style="8" customWidth="1"/>
    <col min="2" max="2" width="38.57421875" style="10" customWidth="1"/>
    <col min="3" max="3" width="9.8515625" style="10" customWidth="1"/>
    <col min="4" max="4" width="10.28125" style="543" customWidth="1"/>
    <col min="5" max="6" width="10.28125" style="9" customWidth="1"/>
    <col min="7" max="8" width="8.7109375" style="3" customWidth="1"/>
    <col min="9" max="16384" width="8.8515625" style="3" customWidth="1"/>
  </cols>
  <sheetData>
    <row r="1" spans="1:8" ht="15.75">
      <c r="A1" s="1342" t="s">
        <v>426</v>
      </c>
      <c r="B1" s="1343"/>
      <c r="C1" s="1343"/>
      <c r="D1" s="1343"/>
      <c r="E1" s="1343"/>
      <c r="F1" s="1343"/>
      <c r="G1" s="1343"/>
      <c r="H1" s="1343"/>
    </row>
    <row r="2" spans="1:8" ht="15.75">
      <c r="A2" s="1348" t="s">
        <v>903</v>
      </c>
      <c r="B2" s="1345"/>
      <c r="C2" s="1345"/>
      <c r="D2" s="1345"/>
      <c r="E2" s="1345"/>
      <c r="F2" s="1345"/>
      <c r="G2" s="1345"/>
      <c r="H2" s="1345"/>
    </row>
    <row r="3" spans="1:8" ht="15.75">
      <c r="A3" s="1348" t="s">
        <v>759</v>
      </c>
      <c r="B3" s="1345"/>
      <c r="C3" s="1345"/>
      <c r="D3" s="1345"/>
      <c r="E3" s="1345"/>
      <c r="F3" s="1345"/>
      <c r="G3" s="1345"/>
      <c r="H3" s="1345"/>
    </row>
    <row r="4" spans="1:8" ht="15.75">
      <c r="A4" s="1366" t="s">
        <v>523</v>
      </c>
      <c r="B4" s="1345"/>
      <c r="C4" s="1345"/>
      <c r="D4" s="1345"/>
      <c r="E4" s="1345"/>
      <c r="F4" s="1345"/>
      <c r="G4" s="1345"/>
      <c r="H4" s="1345"/>
    </row>
    <row r="5" spans="2:8" ht="15.75" customHeight="1">
      <c r="B5" s="720"/>
      <c r="C5" s="720"/>
      <c r="D5" s="4"/>
      <c r="E5" s="4"/>
      <c r="F5" s="503"/>
      <c r="G5" s="721"/>
      <c r="H5" s="722" t="s">
        <v>128</v>
      </c>
    </row>
    <row r="6" spans="1:8" s="5" customFormat="1" ht="39.75" customHeight="1">
      <c r="A6" s="1226" t="s">
        <v>169</v>
      </c>
      <c r="B6" s="197" t="s">
        <v>129</v>
      </c>
      <c r="C6" s="725" t="s">
        <v>257</v>
      </c>
      <c r="D6" s="563" t="s">
        <v>911</v>
      </c>
      <c r="E6" s="563" t="s">
        <v>258</v>
      </c>
      <c r="F6" s="988" t="s">
        <v>249</v>
      </c>
      <c r="G6" s="723" t="s">
        <v>259</v>
      </c>
      <c r="H6" s="723" t="s">
        <v>259</v>
      </c>
    </row>
    <row r="7" spans="1:8" s="5" customFormat="1" ht="12" customHeight="1">
      <c r="A7" s="197" t="s">
        <v>524</v>
      </c>
      <c r="B7" s="445" t="s">
        <v>525</v>
      </c>
      <c r="C7" s="445" t="s">
        <v>526</v>
      </c>
      <c r="D7" s="445" t="s">
        <v>729</v>
      </c>
      <c r="E7" s="445" t="s">
        <v>730</v>
      </c>
      <c r="F7" s="989" t="s">
        <v>731</v>
      </c>
      <c r="G7" s="724" t="s">
        <v>250</v>
      </c>
      <c r="H7" s="724" t="s">
        <v>251</v>
      </c>
    </row>
    <row r="8" spans="1:8" s="6" customFormat="1" ht="12" customHeight="1">
      <c r="A8" s="198"/>
      <c r="B8" s="452" t="s">
        <v>739</v>
      </c>
      <c r="C8" s="952">
        <v>396.5</v>
      </c>
      <c r="D8" s="544">
        <v>396.5</v>
      </c>
      <c r="E8" s="544">
        <v>396.5</v>
      </c>
      <c r="F8" s="58">
        <v>385.5</v>
      </c>
      <c r="G8" s="453"/>
      <c r="H8" s="453"/>
    </row>
    <row r="9" spans="1:8" s="533" customFormat="1" ht="12" customHeight="1">
      <c r="A9" s="531"/>
      <c r="B9" s="532" t="s">
        <v>459</v>
      </c>
      <c r="C9" s="793"/>
      <c r="D9" s="541"/>
      <c r="E9" s="541"/>
      <c r="F9" s="494"/>
      <c r="G9" s="453"/>
      <c r="H9" s="453"/>
    </row>
    <row r="10" spans="1:8" s="7" customFormat="1" ht="12" customHeight="1">
      <c r="A10" s="199" t="s">
        <v>524</v>
      </c>
      <c r="B10" s="449" t="s">
        <v>460</v>
      </c>
      <c r="C10" s="958">
        <v>829141</v>
      </c>
      <c r="D10" s="495">
        <v>829441</v>
      </c>
      <c r="E10" s="495">
        <v>810096</v>
      </c>
      <c r="F10" s="461">
        <v>839704</v>
      </c>
      <c r="G10" s="648">
        <f>IF(D10=0,0,F10/D10)</f>
        <v>1.0123733936470467</v>
      </c>
      <c r="H10" s="648">
        <f aca="true" t="shared" si="0" ref="H10:H51">IF(E10=0,0,F10/E10)</f>
        <v>1.0365487547154906</v>
      </c>
    </row>
    <row r="11" spans="1:8" s="7" customFormat="1" ht="12" customHeight="1">
      <c r="A11" s="199" t="s">
        <v>525</v>
      </c>
      <c r="B11" s="450" t="s">
        <v>461</v>
      </c>
      <c r="C11" s="964">
        <f>SUM(C12:C15)</f>
        <v>268824</v>
      </c>
      <c r="D11" s="495">
        <f>SUM(D12:D15)</f>
        <v>261731</v>
      </c>
      <c r="E11" s="495">
        <f>SUM(E12:E15)</f>
        <v>256319</v>
      </c>
      <c r="F11" s="461">
        <f>SUM(F12:F15)</f>
        <v>267104</v>
      </c>
      <c r="G11" s="648">
        <f aca="true" t="shared" si="1" ref="G11:G51">IF(D11=0,0,F11/D11)</f>
        <v>1.0205287107755672</v>
      </c>
      <c r="H11" s="648">
        <f t="shared" si="0"/>
        <v>1.0420764750174587</v>
      </c>
    </row>
    <row r="12" spans="1:8" s="7" customFormat="1" ht="12" customHeight="1">
      <c r="A12" s="199"/>
      <c r="B12" s="447" t="s">
        <v>316</v>
      </c>
      <c r="C12" s="959">
        <v>227884</v>
      </c>
      <c r="D12" s="495">
        <v>227236</v>
      </c>
      <c r="E12" s="495">
        <v>222692</v>
      </c>
      <c r="F12" s="461">
        <v>230545</v>
      </c>
      <c r="G12" s="648">
        <f t="shared" si="1"/>
        <v>1.014561953211639</v>
      </c>
      <c r="H12" s="648">
        <f t="shared" si="0"/>
        <v>1.0352639520054605</v>
      </c>
    </row>
    <row r="13" spans="1:8" s="7" customFormat="1" ht="12" customHeight="1">
      <c r="A13" s="199"/>
      <c r="B13" s="447" t="s">
        <v>198</v>
      </c>
      <c r="C13" s="959">
        <v>22950</v>
      </c>
      <c r="D13" s="495">
        <v>22419</v>
      </c>
      <c r="E13" s="495">
        <v>22550</v>
      </c>
      <c r="F13" s="461">
        <v>23851</v>
      </c>
      <c r="G13" s="648">
        <f t="shared" si="1"/>
        <v>1.063874392256568</v>
      </c>
      <c r="H13" s="648">
        <f t="shared" si="0"/>
        <v>1.0576940133037693</v>
      </c>
    </row>
    <row r="14" spans="1:8" s="7" customFormat="1" ht="12" customHeight="1">
      <c r="A14" s="199"/>
      <c r="B14" s="447" t="s">
        <v>199</v>
      </c>
      <c r="C14" s="959">
        <v>15622</v>
      </c>
      <c r="D14" s="495">
        <v>8668</v>
      </c>
      <c r="E14" s="495">
        <v>8729</v>
      </c>
      <c r="F14" s="461">
        <v>9203</v>
      </c>
      <c r="G14" s="648">
        <f t="shared" si="1"/>
        <v>1.0617212736502077</v>
      </c>
      <c r="H14" s="648">
        <f t="shared" si="0"/>
        <v>1.054301752778096</v>
      </c>
    </row>
    <row r="15" spans="1:8" s="7" customFormat="1" ht="12" customHeight="1">
      <c r="A15" s="199"/>
      <c r="B15" s="447" t="s">
        <v>315</v>
      </c>
      <c r="C15" s="959">
        <v>2368</v>
      </c>
      <c r="D15" s="495">
        <v>3408</v>
      </c>
      <c r="E15" s="495">
        <v>2348</v>
      </c>
      <c r="F15" s="461">
        <v>3505</v>
      </c>
      <c r="G15" s="648">
        <f t="shared" si="1"/>
        <v>1.028462441314554</v>
      </c>
      <c r="H15" s="648">
        <f t="shared" si="0"/>
        <v>1.4927597955706984</v>
      </c>
    </row>
    <row r="16" spans="1:8" s="7" customFormat="1" ht="12" customHeight="1">
      <c r="A16" s="199" t="s">
        <v>526</v>
      </c>
      <c r="B16" s="449" t="s">
        <v>462</v>
      </c>
      <c r="C16" s="958">
        <v>486145</v>
      </c>
      <c r="D16" s="495">
        <v>472754</v>
      </c>
      <c r="E16" s="495">
        <v>542732</v>
      </c>
      <c r="F16" s="461">
        <v>522859</v>
      </c>
      <c r="G16" s="648">
        <f t="shared" si="1"/>
        <v>1.1059853539049909</v>
      </c>
      <c r="H16" s="648">
        <f t="shared" si="0"/>
        <v>0.9633834010156025</v>
      </c>
    </row>
    <row r="17" spans="1:8" s="6" customFormat="1" ht="24" customHeight="1">
      <c r="A17" s="198" t="s">
        <v>729</v>
      </c>
      <c r="B17" s="460" t="s">
        <v>195</v>
      </c>
      <c r="C17" s="954">
        <f>SUM(C18,C20)</f>
        <v>4718</v>
      </c>
      <c r="D17" s="461">
        <f>SUM(D18,D20)</f>
        <v>8118</v>
      </c>
      <c r="E17" s="461">
        <f>SUM(E18,E20)</f>
        <v>25340</v>
      </c>
      <c r="F17" s="461">
        <f>SUM(F18,F20)</f>
        <v>1179</v>
      </c>
      <c r="G17" s="547">
        <f t="shared" si="1"/>
        <v>0.14523281596452328</v>
      </c>
      <c r="H17" s="547">
        <f t="shared" si="0"/>
        <v>0.046527229676400945</v>
      </c>
    </row>
    <row r="18" spans="1:8" s="7" customFormat="1" ht="12" customHeight="1">
      <c r="A18" s="583"/>
      <c r="B18" s="965" t="s">
        <v>405</v>
      </c>
      <c r="C18" s="966">
        <v>0</v>
      </c>
      <c r="D18" s="496">
        <v>0</v>
      </c>
      <c r="E18" s="496">
        <v>19015</v>
      </c>
      <c r="F18" s="580">
        <v>0</v>
      </c>
      <c r="G18" s="517">
        <f t="shared" si="1"/>
        <v>0</v>
      </c>
      <c r="H18" s="517">
        <f t="shared" si="0"/>
        <v>0</v>
      </c>
    </row>
    <row r="19" spans="1:8" s="7" customFormat="1" ht="12" customHeight="1">
      <c r="A19" s="581"/>
      <c r="B19" s="968" t="s">
        <v>447</v>
      </c>
      <c r="C19" s="969">
        <v>0</v>
      </c>
      <c r="D19" s="497">
        <v>0</v>
      </c>
      <c r="E19" s="497">
        <v>0</v>
      </c>
      <c r="F19" s="990">
        <v>0</v>
      </c>
      <c r="G19" s="970">
        <f>IF(D19=0,0,F19/D19)</f>
        <v>0</v>
      </c>
      <c r="H19" s="970">
        <f>IF(E19=0,0,F19/E19)</f>
        <v>0</v>
      </c>
    </row>
    <row r="20" spans="1:8" s="7" customFormat="1" ht="24" customHeight="1">
      <c r="A20" s="199"/>
      <c r="B20" s="972" t="s">
        <v>406</v>
      </c>
      <c r="C20" s="973">
        <v>4718</v>
      </c>
      <c r="D20" s="495">
        <v>8118</v>
      </c>
      <c r="E20" s="495">
        <v>6325</v>
      </c>
      <c r="F20" s="461">
        <v>1179</v>
      </c>
      <c r="G20" s="648">
        <f t="shared" si="1"/>
        <v>0.14523281596452328</v>
      </c>
      <c r="H20" s="648">
        <f t="shared" si="0"/>
        <v>0.18640316205533597</v>
      </c>
    </row>
    <row r="21" spans="1:8" s="7" customFormat="1" ht="12" customHeight="1">
      <c r="A21" s="199" t="s">
        <v>730</v>
      </c>
      <c r="B21" s="449" t="s">
        <v>185</v>
      </c>
      <c r="C21" s="958">
        <v>0</v>
      </c>
      <c r="D21" s="495">
        <v>0</v>
      </c>
      <c r="E21" s="495">
        <v>0</v>
      </c>
      <c r="F21" s="461">
        <v>0</v>
      </c>
      <c r="G21" s="648">
        <f t="shared" si="1"/>
        <v>0</v>
      </c>
      <c r="H21" s="648">
        <f t="shared" si="0"/>
        <v>0</v>
      </c>
    </row>
    <row r="22" spans="1:8" s="7" customFormat="1" ht="12" customHeight="1">
      <c r="A22" s="199" t="s">
        <v>731</v>
      </c>
      <c r="B22" s="449" t="s">
        <v>83</v>
      </c>
      <c r="C22" s="958">
        <v>0</v>
      </c>
      <c r="D22" s="495">
        <v>0</v>
      </c>
      <c r="E22" s="495">
        <v>0</v>
      </c>
      <c r="F22" s="461">
        <v>0</v>
      </c>
      <c r="G22" s="648">
        <f>IF(D22=0,0,F22/D22)</f>
        <v>0</v>
      </c>
      <c r="H22" s="648">
        <f>IF(E22=0,0,F22/E22)</f>
        <v>0</v>
      </c>
    </row>
    <row r="23" spans="1:8" s="536" customFormat="1" ht="13.5">
      <c r="A23" s="531" t="s">
        <v>805</v>
      </c>
      <c r="B23" s="532" t="s">
        <v>317</v>
      </c>
      <c r="C23" s="568">
        <f>SUM(C10,C11,C16,C17,C21,C22)</f>
        <v>1588828</v>
      </c>
      <c r="D23" s="568">
        <f>SUM(D10,D11,D16,D17,D21,D22)</f>
        <v>1572044</v>
      </c>
      <c r="E23" s="568">
        <f>SUM(E10,E11,E16,E17,E21,E22)</f>
        <v>1634487</v>
      </c>
      <c r="F23" s="568">
        <f>SUM(F10,F11,F16,F17,F21,F22)</f>
        <v>1630846</v>
      </c>
      <c r="G23" s="502">
        <f t="shared" si="1"/>
        <v>1.0374048054634604</v>
      </c>
      <c r="H23" s="502">
        <f t="shared" si="0"/>
        <v>0.9977723897467523</v>
      </c>
    </row>
    <row r="24" spans="1:8" s="7" customFormat="1" ht="12" customHeight="1">
      <c r="A24" s="199" t="s">
        <v>732</v>
      </c>
      <c r="B24" s="449" t="s">
        <v>200</v>
      </c>
      <c r="C24" s="958">
        <v>0</v>
      </c>
      <c r="D24" s="495">
        <v>4000</v>
      </c>
      <c r="E24" s="495">
        <v>102311</v>
      </c>
      <c r="F24" s="461">
        <v>9000</v>
      </c>
      <c r="G24" s="648">
        <f t="shared" si="1"/>
        <v>2.25</v>
      </c>
      <c r="H24" s="648">
        <f t="shared" si="0"/>
        <v>0.08796708076355426</v>
      </c>
    </row>
    <row r="25" spans="1:8" s="7" customFormat="1" ht="12" customHeight="1">
      <c r="A25" s="199" t="s">
        <v>733</v>
      </c>
      <c r="B25" s="449" t="s">
        <v>203</v>
      </c>
      <c r="C25" s="958">
        <v>25219</v>
      </c>
      <c r="D25" s="495">
        <v>0</v>
      </c>
      <c r="E25" s="495">
        <v>34253</v>
      </c>
      <c r="F25" s="461">
        <v>0</v>
      </c>
      <c r="G25" s="648">
        <f t="shared" si="1"/>
        <v>0</v>
      </c>
      <c r="H25" s="648">
        <f t="shared" si="0"/>
        <v>0</v>
      </c>
    </row>
    <row r="26" spans="1:8" s="6" customFormat="1" ht="25.5" customHeight="1">
      <c r="A26" s="198" t="s">
        <v>734</v>
      </c>
      <c r="B26" s="460" t="s">
        <v>196</v>
      </c>
      <c r="C26" s="955">
        <f>SUM(C28,C30)</f>
        <v>0</v>
      </c>
      <c r="D26" s="461">
        <f>SUM(D28,D30)</f>
        <v>0</v>
      </c>
      <c r="E26" s="461">
        <f>SUM(E28,E30)</f>
        <v>860</v>
      </c>
      <c r="F26" s="461">
        <f>SUM(F28,F30)</f>
        <v>0</v>
      </c>
      <c r="G26" s="547">
        <f t="shared" si="1"/>
        <v>0</v>
      </c>
      <c r="H26" s="547">
        <f t="shared" si="0"/>
        <v>0</v>
      </c>
    </row>
    <row r="27" spans="1:8" s="7" customFormat="1" ht="12" customHeight="1" hidden="1">
      <c r="A27" s="199"/>
      <c r="B27" s="446"/>
      <c r="C27" s="963"/>
      <c r="D27" s="495"/>
      <c r="E27" s="495"/>
      <c r="F27" s="461"/>
      <c r="G27" s="648">
        <f t="shared" si="1"/>
        <v>0</v>
      </c>
      <c r="H27" s="648">
        <f t="shared" si="0"/>
        <v>0</v>
      </c>
    </row>
    <row r="28" spans="1:8" s="7" customFormat="1" ht="12" customHeight="1">
      <c r="A28" s="583"/>
      <c r="B28" s="965" t="s">
        <v>407</v>
      </c>
      <c r="C28" s="966">
        <v>0</v>
      </c>
      <c r="D28" s="496">
        <v>0</v>
      </c>
      <c r="E28" s="496">
        <v>860</v>
      </c>
      <c r="F28" s="580">
        <v>0</v>
      </c>
      <c r="G28" s="517">
        <f t="shared" si="1"/>
        <v>0</v>
      </c>
      <c r="H28" s="517">
        <f t="shared" si="0"/>
        <v>0</v>
      </c>
    </row>
    <row r="29" spans="1:8" s="7" customFormat="1" ht="12" customHeight="1">
      <c r="A29" s="581"/>
      <c r="B29" s="968" t="s">
        <v>447</v>
      </c>
      <c r="C29" s="969">
        <v>0</v>
      </c>
      <c r="D29" s="497">
        <v>0</v>
      </c>
      <c r="E29" s="497">
        <v>0</v>
      </c>
      <c r="F29" s="990">
        <v>0</v>
      </c>
      <c r="G29" s="970">
        <f t="shared" si="1"/>
        <v>0</v>
      </c>
      <c r="H29" s="970">
        <f t="shared" si="0"/>
        <v>0</v>
      </c>
    </row>
    <row r="30" spans="1:8" s="7" customFormat="1" ht="24" customHeight="1">
      <c r="A30" s="199"/>
      <c r="B30" s="972" t="s">
        <v>408</v>
      </c>
      <c r="C30" s="973">
        <v>0</v>
      </c>
      <c r="D30" s="495">
        <v>0</v>
      </c>
      <c r="E30" s="495">
        <v>0</v>
      </c>
      <c r="F30" s="461">
        <v>0</v>
      </c>
      <c r="G30" s="648">
        <f t="shared" si="1"/>
        <v>0</v>
      </c>
      <c r="H30" s="648">
        <f t="shared" si="0"/>
        <v>0</v>
      </c>
    </row>
    <row r="31" spans="1:8" s="533" customFormat="1" ht="12" customHeight="1">
      <c r="A31" s="531" t="s">
        <v>327</v>
      </c>
      <c r="B31" s="532" t="s">
        <v>318</v>
      </c>
      <c r="C31" s="956">
        <f>SUM(C24,C25,C26)</f>
        <v>25219</v>
      </c>
      <c r="D31" s="494">
        <f>SUM(D24,D25,D26)</f>
        <v>4000</v>
      </c>
      <c r="E31" s="494">
        <f>SUM(E24,E25,E26)</f>
        <v>137424</v>
      </c>
      <c r="F31" s="494">
        <f>SUM(F24,F25,F26)</f>
        <v>9000</v>
      </c>
      <c r="G31" s="502">
        <f t="shared" si="1"/>
        <v>2.25</v>
      </c>
      <c r="H31" s="502">
        <f t="shared" si="0"/>
        <v>0.06549074397485155</v>
      </c>
    </row>
    <row r="32" spans="1:8" s="533" customFormat="1" ht="13.5" customHeight="1">
      <c r="A32" s="531"/>
      <c r="B32" s="532" t="s">
        <v>756</v>
      </c>
      <c r="C32" s="956">
        <f>SUM(C23,C24:C26)</f>
        <v>1614047</v>
      </c>
      <c r="D32" s="494">
        <f>SUM(D23,D24:D26)</f>
        <v>1576044</v>
      </c>
      <c r="E32" s="494">
        <f>SUM(E23,E24:E26)</f>
        <v>1771911</v>
      </c>
      <c r="F32" s="494">
        <f>SUM(F23,F24:F26)</f>
        <v>1639846</v>
      </c>
      <c r="G32" s="502">
        <f t="shared" si="1"/>
        <v>1.0404823723195544</v>
      </c>
      <c r="H32" s="502">
        <f t="shared" si="0"/>
        <v>0.9254674755109032</v>
      </c>
    </row>
    <row r="33" spans="1:8" s="533" customFormat="1" ht="12" customHeight="1">
      <c r="A33" s="531"/>
      <c r="B33" s="974" t="s">
        <v>319</v>
      </c>
      <c r="C33" s="975"/>
      <c r="D33" s="495"/>
      <c r="E33" s="495"/>
      <c r="F33" s="461"/>
      <c r="G33" s="648"/>
      <c r="H33" s="648"/>
    </row>
    <row r="34" spans="1:8" s="533" customFormat="1" ht="12" customHeight="1">
      <c r="A34" s="199" t="s">
        <v>524</v>
      </c>
      <c r="B34" s="976" t="s">
        <v>400</v>
      </c>
      <c r="C34" s="977">
        <v>0</v>
      </c>
      <c r="D34" s="495">
        <v>0</v>
      </c>
      <c r="E34" s="495">
        <v>0</v>
      </c>
      <c r="F34" s="461">
        <v>0</v>
      </c>
      <c r="G34" s="517">
        <f t="shared" si="1"/>
        <v>0</v>
      </c>
      <c r="H34" s="517">
        <f t="shared" si="0"/>
        <v>0</v>
      </c>
    </row>
    <row r="35" spans="1:8" s="533" customFormat="1" ht="24" customHeight="1">
      <c r="A35" s="583" t="s">
        <v>525</v>
      </c>
      <c r="B35" s="978" t="s">
        <v>791</v>
      </c>
      <c r="C35" s="979">
        <v>80355</v>
      </c>
      <c r="D35" s="496">
        <v>65481</v>
      </c>
      <c r="E35" s="496">
        <v>63374</v>
      </c>
      <c r="F35" s="1202">
        <v>67194</v>
      </c>
      <c r="G35" s="517">
        <f t="shared" si="1"/>
        <v>1.0261602602281579</v>
      </c>
      <c r="H35" s="517">
        <f t="shared" si="0"/>
        <v>1.0602770852400039</v>
      </c>
    </row>
    <row r="36" spans="1:8" s="533" customFormat="1" ht="12" customHeight="1">
      <c r="A36" s="581"/>
      <c r="B36" s="980" t="s">
        <v>396</v>
      </c>
      <c r="C36" s="981">
        <v>0</v>
      </c>
      <c r="D36" s="497">
        <v>0</v>
      </c>
      <c r="E36" s="497">
        <v>0</v>
      </c>
      <c r="F36" s="1203">
        <v>0</v>
      </c>
      <c r="G36" s="970">
        <f>IF(D36=0,0,F36/D36)</f>
        <v>0</v>
      </c>
      <c r="H36" s="970">
        <f>IF(E36=0,0,F36/E36)</f>
        <v>0</v>
      </c>
    </row>
    <row r="37" spans="1:8" s="533" customFormat="1" ht="12" customHeight="1">
      <c r="A37" s="199" t="s">
        <v>526</v>
      </c>
      <c r="B37" s="36" t="s">
        <v>726</v>
      </c>
      <c r="C37" s="498">
        <v>13965</v>
      </c>
      <c r="D37" s="495">
        <v>15703</v>
      </c>
      <c r="E37" s="495">
        <v>18126</v>
      </c>
      <c r="F37" s="461">
        <v>14532</v>
      </c>
      <c r="G37" s="970">
        <f t="shared" si="1"/>
        <v>0.9254282621155193</v>
      </c>
      <c r="H37" s="970">
        <f t="shared" si="0"/>
        <v>0.8017212843429328</v>
      </c>
    </row>
    <row r="38" spans="1:8" s="533" customFormat="1" ht="12" customHeight="1">
      <c r="A38" s="199" t="s">
        <v>729</v>
      </c>
      <c r="B38" s="449" t="s">
        <v>607</v>
      </c>
      <c r="C38" s="498">
        <v>272</v>
      </c>
      <c r="D38" s="495">
        <v>505</v>
      </c>
      <c r="E38" s="495">
        <v>280</v>
      </c>
      <c r="F38" s="461">
        <v>273</v>
      </c>
      <c r="G38" s="648">
        <f t="shared" si="1"/>
        <v>0.5405940594059406</v>
      </c>
      <c r="H38" s="648">
        <f t="shared" si="0"/>
        <v>0.975</v>
      </c>
    </row>
    <row r="39" spans="1:8" s="533" customFormat="1" ht="12" customHeight="1">
      <c r="A39" s="199" t="s">
        <v>730</v>
      </c>
      <c r="B39" s="449" t="s">
        <v>349</v>
      </c>
      <c r="C39" s="499">
        <v>8441</v>
      </c>
      <c r="D39" s="495">
        <v>8262</v>
      </c>
      <c r="E39" s="495">
        <v>9266</v>
      </c>
      <c r="F39" s="461">
        <v>10454</v>
      </c>
      <c r="G39" s="648">
        <f t="shared" si="1"/>
        <v>1.2653110626966837</v>
      </c>
      <c r="H39" s="648">
        <f t="shared" si="0"/>
        <v>1.1282106626375998</v>
      </c>
    </row>
    <row r="40" spans="1:8" s="533" customFormat="1" ht="25.5" customHeight="1">
      <c r="A40" s="583" t="s">
        <v>731</v>
      </c>
      <c r="B40" s="982" t="s">
        <v>192</v>
      </c>
      <c r="C40" s="983">
        <v>857031</v>
      </c>
      <c r="D40" s="496">
        <v>790246</v>
      </c>
      <c r="E40" s="496">
        <v>883072</v>
      </c>
      <c r="F40" s="580">
        <v>803064</v>
      </c>
      <c r="G40" s="517">
        <f t="shared" si="1"/>
        <v>1.016220265588184</v>
      </c>
      <c r="H40" s="517">
        <f t="shared" si="0"/>
        <v>0.9093981011740832</v>
      </c>
    </row>
    <row r="41" spans="1:8" s="533" customFormat="1" ht="12" customHeight="1">
      <c r="A41" s="581"/>
      <c r="B41" s="968" t="s">
        <v>447</v>
      </c>
      <c r="C41" s="981">
        <v>0</v>
      </c>
      <c r="D41" s="497">
        <v>0</v>
      </c>
      <c r="E41" s="497">
        <v>65470</v>
      </c>
      <c r="F41" s="990">
        <v>0</v>
      </c>
      <c r="G41" s="970">
        <f>IF(D41=0,0,F41/D41)</f>
        <v>0</v>
      </c>
      <c r="H41" s="970">
        <f>IF(E41=0,0,F41/E41)</f>
        <v>0</v>
      </c>
    </row>
    <row r="42" spans="1:8" s="533" customFormat="1" ht="24" customHeight="1">
      <c r="A42" s="583" t="s">
        <v>732</v>
      </c>
      <c r="B42" s="982" t="s">
        <v>625</v>
      </c>
      <c r="C42" s="985">
        <v>120</v>
      </c>
      <c r="D42" s="496">
        <v>0</v>
      </c>
      <c r="E42" s="496">
        <v>1500</v>
      </c>
      <c r="F42" s="580">
        <v>0</v>
      </c>
      <c r="G42" s="517">
        <f t="shared" si="1"/>
        <v>0</v>
      </c>
      <c r="H42" s="517">
        <f t="shared" si="0"/>
        <v>0</v>
      </c>
    </row>
    <row r="43" spans="1:8" s="533" customFormat="1" ht="12" customHeight="1">
      <c r="A43" s="583" t="s">
        <v>733</v>
      </c>
      <c r="B43" s="982" t="s">
        <v>194</v>
      </c>
      <c r="C43" s="983">
        <v>0</v>
      </c>
      <c r="D43" s="496">
        <v>0</v>
      </c>
      <c r="E43" s="496">
        <v>5860</v>
      </c>
      <c r="F43" s="580">
        <v>0</v>
      </c>
      <c r="G43" s="517">
        <f t="shared" si="1"/>
        <v>0</v>
      </c>
      <c r="H43" s="517">
        <f t="shared" si="0"/>
        <v>0</v>
      </c>
    </row>
    <row r="44" spans="1:8" s="533" customFormat="1" ht="12" customHeight="1">
      <c r="A44" s="581"/>
      <c r="B44" s="968" t="s">
        <v>447</v>
      </c>
      <c r="C44" s="981">
        <v>0</v>
      </c>
      <c r="D44" s="497">
        <v>0</v>
      </c>
      <c r="E44" s="497">
        <v>5860</v>
      </c>
      <c r="F44" s="990">
        <v>0</v>
      </c>
      <c r="G44" s="970">
        <f>IF(D44=0,0,F44/D44)</f>
        <v>0</v>
      </c>
      <c r="H44" s="970">
        <f>IF(E44=0,0,F44/E44)</f>
        <v>0</v>
      </c>
    </row>
    <row r="45" spans="1:8" s="533" customFormat="1" ht="24" customHeight="1">
      <c r="A45" s="581" t="s">
        <v>734</v>
      </c>
      <c r="B45" s="991" t="s">
        <v>418</v>
      </c>
      <c r="C45" s="986">
        <v>0</v>
      </c>
      <c r="D45" s="497">
        <v>0</v>
      </c>
      <c r="E45" s="497">
        <v>0</v>
      </c>
      <c r="F45" s="990">
        <v>0</v>
      </c>
      <c r="G45" s="970">
        <f t="shared" si="1"/>
        <v>0</v>
      </c>
      <c r="H45" s="970">
        <f t="shared" si="0"/>
        <v>0</v>
      </c>
    </row>
    <row r="46" spans="1:8" s="533" customFormat="1" ht="12" customHeight="1">
      <c r="A46" s="199" t="s">
        <v>735</v>
      </c>
      <c r="B46" s="449" t="s">
        <v>311</v>
      </c>
      <c r="C46" s="498">
        <v>85</v>
      </c>
      <c r="D46" s="495">
        <v>0</v>
      </c>
      <c r="E46" s="495">
        <v>99</v>
      </c>
      <c r="F46" s="461">
        <v>0</v>
      </c>
      <c r="G46" s="648">
        <f t="shared" si="1"/>
        <v>0</v>
      </c>
      <c r="H46" s="648">
        <f t="shared" si="0"/>
        <v>0</v>
      </c>
    </row>
    <row r="47" spans="1:8" s="533" customFormat="1" ht="12" customHeight="1">
      <c r="A47" s="199" t="s">
        <v>736</v>
      </c>
      <c r="B47" s="449" t="s">
        <v>312</v>
      </c>
      <c r="C47" s="498">
        <v>61484</v>
      </c>
      <c r="D47" s="495">
        <v>0</v>
      </c>
      <c r="E47" s="495">
        <v>90932</v>
      </c>
      <c r="F47" s="461">
        <v>0</v>
      </c>
      <c r="G47" s="648">
        <f t="shared" si="1"/>
        <v>0</v>
      </c>
      <c r="H47" s="648">
        <f t="shared" si="0"/>
        <v>0</v>
      </c>
    </row>
    <row r="48" spans="1:8" s="533" customFormat="1" ht="12" customHeight="1">
      <c r="A48" s="531"/>
      <c r="B48" s="532" t="s">
        <v>768</v>
      </c>
      <c r="C48" s="494">
        <f>SUM(C34:C47)-C36-C41-C44</f>
        <v>1021753</v>
      </c>
      <c r="D48" s="494">
        <f>SUM(D34:D47)-D36-D41-D44</f>
        <v>880197</v>
      </c>
      <c r="E48" s="494">
        <f>SUM(E34:E47)-E36-E41-E44</f>
        <v>1072509</v>
      </c>
      <c r="F48" s="494">
        <f>SUM(F34:F47)-F36-F41-F44</f>
        <v>895517</v>
      </c>
      <c r="G48" s="502">
        <f t="shared" si="1"/>
        <v>1.0174051945189542</v>
      </c>
      <c r="H48" s="502">
        <f t="shared" si="0"/>
        <v>0.834973879007076</v>
      </c>
    </row>
    <row r="49" spans="1:8" s="536" customFormat="1" ht="13.5">
      <c r="A49" s="537" t="s">
        <v>737</v>
      </c>
      <c r="B49" s="532" t="s">
        <v>351</v>
      </c>
      <c r="C49" s="397">
        <v>646445</v>
      </c>
      <c r="D49" s="494">
        <v>695847</v>
      </c>
      <c r="E49" s="494">
        <v>795283</v>
      </c>
      <c r="F49" s="494">
        <v>744329</v>
      </c>
      <c r="G49" s="502">
        <f t="shared" si="1"/>
        <v>1.0696733621040257</v>
      </c>
      <c r="H49" s="502">
        <f t="shared" si="0"/>
        <v>0.9359297256448333</v>
      </c>
    </row>
    <row r="50" spans="1:8" s="536" customFormat="1" ht="12" customHeight="1">
      <c r="A50" s="346"/>
      <c r="B50" s="987" t="s">
        <v>197</v>
      </c>
      <c r="C50" s="947">
        <v>0</v>
      </c>
      <c r="D50" s="451">
        <v>102016</v>
      </c>
      <c r="E50" s="451">
        <v>102016</v>
      </c>
      <c r="F50" s="992">
        <v>152185</v>
      </c>
      <c r="G50" s="648">
        <f t="shared" si="1"/>
        <v>1.4917757998745296</v>
      </c>
      <c r="H50" s="648">
        <f t="shared" si="0"/>
        <v>1.4917757998745296</v>
      </c>
    </row>
    <row r="51" spans="1:8" s="536" customFormat="1" ht="11.25" customHeight="1">
      <c r="A51" s="346"/>
      <c r="B51" s="565" t="s">
        <v>398</v>
      </c>
      <c r="C51" s="948">
        <v>0</v>
      </c>
      <c r="D51" s="451">
        <v>0</v>
      </c>
      <c r="E51" s="451">
        <v>0</v>
      </c>
      <c r="F51" s="992">
        <v>0</v>
      </c>
      <c r="G51" s="648">
        <f t="shared" si="1"/>
        <v>0</v>
      </c>
      <c r="H51" s="648">
        <f t="shared" si="0"/>
        <v>0</v>
      </c>
    </row>
    <row r="52" spans="1:8" s="536" customFormat="1" ht="13.5" customHeight="1">
      <c r="A52" s="566"/>
      <c r="B52" s="567" t="s">
        <v>749</v>
      </c>
      <c r="C52" s="793">
        <f>SUM(C48,C49)</f>
        <v>1668198</v>
      </c>
      <c r="D52" s="568">
        <f>SUM(D48:D49)</f>
        <v>1576044</v>
      </c>
      <c r="E52" s="568">
        <f>SUM(E48:E49)</f>
        <v>1867792</v>
      </c>
      <c r="F52" s="568">
        <f>SUM(F48:F49)</f>
        <v>1639846</v>
      </c>
      <c r="G52" s="502">
        <f>IF(D52=0,0,F52/D52)</f>
        <v>1.0404823723195544</v>
      </c>
      <c r="H52" s="502">
        <f>IF(E52=0,0,F52/E52)</f>
        <v>0.8779596443287047</v>
      </c>
    </row>
    <row r="53" spans="6:9" ht="15.75">
      <c r="F53" s="508"/>
      <c r="G53" s="509"/>
      <c r="H53" s="509"/>
      <c r="I53" s="8"/>
    </row>
  </sheetData>
  <sheetProtection password="CC08"/>
  <mergeCells count="4">
    <mergeCell ref="A1:H1"/>
    <mergeCell ref="A2:H2"/>
    <mergeCell ref="A3:H3"/>
    <mergeCell ref="A4:H4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CE,Normál"3/c. számú melléklet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ntry="1"/>
  <dimension ref="A1:I53"/>
  <sheetViews>
    <sheetView workbookViewId="0" topLeftCell="A37">
      <selection activeCell="F50" sqref="F50"/>
    </sheetView>
  </sheetViews>
  <sheetFormatPr defaultColWidth="9.140625" defaultRowHeight="12.75"/>
  <cols>
    <col min="1" max="1" width="4.00390625" style="8" customWidth="1"/>
    <col min="2" max="2" width="38.57421875" style="10" customWidth="1"/>
    <col min="3" max="3" width="9.8515625" style="10" customWidth="1"/>
    <col min="4" max="4" width="10.28125" style="9" customWidth="1"/>
    <col min="5" max="5" width="9.421875" style="9" customWidth="1"/>
    <col min="6" max="6" width="10.28125" style="543" customWidth="1"/>
    <col min="7" max="7" width="9.28125" style="3" customWidth="1"/>
    <col min="8" max="8" width="8.7109375" style="3" customWidth="1"/>
    <col min="9" max="16384" width="8.8515625" style="3" customWidth="1"/>
  </cols>
  <sheetData>
    <row r="1" spans="1:8" ht="15.75">
      <c r="A1" s="1342" t="s">
        <v>426</v>
      </c>
      <c r="B1" s="1343"/>
      <c r="C1" s="1343"/>
      <c r="D1" s="1343"/>
      <c r="E1" s="1343"/>
      <c r="F1" s="1343"/>
      <c r="G1" s="1343"/>
      <c r="H1" s="1343"/>
    </row>
    <row r="2" spans="1:8" ht="15.75">
      <c r="A2" s="1348" t="s">
        <v>903</v>
      </c>
      <c r="B2" s="1345"/>
      <c r="C2" s="1345"/>
      <c r="D2" s="1345"/>
      <c r="E2" s="1345"/>
      <c r="F2" s="1345"/>
      <c r="G2" s="1345"/>
      <c r="H2" s="1345"/>
    </row>
    <row r="3" spans="1:8" ht="15.75">
      <c r="A3" s="1348" t="s">
        <v>759</v>
      </c>
      <c r="B3" s="1345"/>
      <c r="C3" s="1345"/>
      <c r="D3" s="1345"/>
      <c r="E3" s="1345"/>
      <c r="F3" s="1345"/>
      <c r="G3" s="1345"/>
      <c r="H3" s="1345"/>
    </row>
    <row r="4" spans="1:8" ht="15.75">
      <c r="A4" s="1366" t="s">
        <v>549</v>
      </c>
      <c r="B4" s="1345"/>
      <c r="C4" s="1345"/>
      <c r="D4" s="1345"/>
      <c r="E4" s="1345"/>
      <c r="F4" s="1345"/>
      <c r="G4" s="1345"/>
      <c r="H4" s="1345"/>
    </row>
    <row r="5" spans="2:8" ht="15.75" customHeight="1">
      <c r="B5" s="720"/>
      <c r="C5" s="720"/>
      <c r="D5" s="4"/>
      <c r="E5" s="4"/>
      <c r="F5" s="4"/>
      <c r="G5" s="721"/>
      <c r="H5" s="722" t="s">
        <v>128</v>
      </c>
    </row>
    <row r="6" spans="1:8" s="5" customFormat="1" ht="39.75" customHeight="1">
      <c r="A6" s="1226" t="s">
        <v>169</v>
      </c>
      <c r="B6" s="197" t="s">
        <v>129</v>
      </c>
      <c r="C6" s="725" t="s">
        <v>257</v>
      </c>
      <c r="D6" s="563" t="s">
        <v>911</v>
      </c>
      <c r="E6" s="563" t="s">
        <v>258</v>
      </c>
      <c r="F6" s="988" t="s">
        <v>249</v>
      </c>
      <c r="G6" s="723" t="s">
        <v>259</v>
      </c>
      <c r="H6" s="723" t="s">
        <v>259</v>
      </c>
    </row>
    <row r="7" spans="1:8" s="5" customFormat="1" ht="12" customHeight="1">
      <c r="A7" s="197" t="s">
        <v>524</v>
      </c>
      <c r="B7" s="445" t="s">
        <v>525</v>
      </c>
      <c r="C7" s="445" t="s">
        <v>526</v>
      </c>
      <c r="D7" s="445" t="s">
        <v>729</v>
      </c>
      <c r="E7" s="445" t="s">
        <v>730</v>
      </c>
      <c r="F7" s="989" t="s">
        <v>731</v>
      </c>
      <c r="G7" s="724" t="s">
        <v>250</v>
      </c>
      <c r="H7" s="724" t="s">
        <v>251</v>
      </c>
    </row>
    <row r="8" spans="1:8" s="6" customFormat="1" ht="12" customHeight="1">
      <c r="A8" s="198"/>
      <c r="B8" s="452" t="s">
        <v>739</v>
      </c>
      <c r="C8" s="952">
        <v>81</v>
      </c>
      <c r="D8" s="544">
        <v>82</v>
      </c>
      <c r="E8" s="544">
        <v>79</v>
      </c>
      <c r="F8" s="58">
        <v>79</v>
      </c>
      <c r="G8" s="453"/>
      <c r="H8" s="453"/>
    </row>
    <row r="9" spans="1:8" s="533" customFormat="1" ht="12" customHeight="1">
      <c r="A9" s="531"/>
      <c r="B9" s="532" t="s">
        <v>459</v>
      </c>
      <c r="C9" s="793"/>
      <c r="D9" s="494"/>
      <c r="E9" s="494"/>
      <c r="F9" s="494"/>
      <c r="G9" s="453"/>
      <c r="H9" s="453"/>
    </row>
    <row r="10" spans="1:8" s="7" customFormat="1" ht="12" customHeight="1">
      <c r="A10" s="199" t="s">
        <v>524</v>
      </c>
      <c r="B10" s="449" t="s">
        <v>460</v>
      </c>
      <c r="C10" s="958">
        <v>190986</v>
      </c>
      <c r="D10" s="495">
        <v>202321</v>
      </c>
      <c r="E10" s="495">
        <v>200786</v>
      </c>
      <c r="F10" s="461">
        <v>193506</v>
      </c>
      <c r="G10" s="648">
        <f>IF(D10=0,0,F10/D10)</f>
        <v>0.9564306226244433</v>
      </c>
      <c r="H10" s="648">
        <f aca="true" t="shared" si="0" ref="H10:H51">IF(E10=0,0,F10/E10)</f>
        <v>0.9637424920064148</v>
      </c>
    </row>
    <row r="11" spans="1:8" s="7" customFormat="1" ht="12" customHeight="1">
      <c r="A11" s="199" t="s">
        <v>525</v>
      </c>
      <c r="B11" s="450" t="s">
        <v>461</v>
      </c>
      <c r="C11" s="964">
        <f>SUM(C12:C15)</f>
        <v>62560</v>
      </c>
      <c r="D11" s="495">
        <f>SUM(D12:D15)</f>
        <v>65008</v>
      </c>
      <c r="E11" s="495">
        <f>SUM(E12:E15)</f>
        <v>64176</v>
      </c>
      <c r="F11" s="461">
        <f>SUM(F12:F15)</f>
        <v>62177</v>
      </c>
      <c r="G11" s="648">
        <f aca="true" t="shared" si="1" ref="G11:G51">IF(D11=0,0,F11/D11)</f>
        <v>0.9564515136598573</v>
      </c>
      <c r="H11" s="648">
        <f t="shared" si="0"/>
        <v>0.968851283969085</v>
      </c>
    </row>
    <row r="12" spans="1:8" s="7" customFormat="1" ht="12" customHeight="1">
      <c r="A12" s="199"/>
      <c r="B12" s="447" t="s">
        <v>316</v>
      </c>
      <c r="C12" s="959">
        <v>53704</v>
      </c>
      <c r="D12" s="495">
        <v>56982</v>
      </c>
      <c r="E12" s="495">
        <v>56300</v>
      </c>
      <c r="F12" s="461">
        <v>54400</v>
      </c>
      <c r="G12" s="648">
        <f t="shared" si="1"/>
        <v>0.9546874451581201</v>
      </c>
      <c r="H12" s="648">
        <f t="shared" si="0"/>
        <v>0.9662522202486679</v>
      </c>
    </row>
    <row r="13" spans="1:8" s="7" customFormat="1" ht="12" customHeight="1">
      <c r="A13" s="199"/>
      <c r="B13" s="447" t="s">
        <v>198</v>
      </c>
      <c r="C13" s="959">
        <v>5553</v>
      </c>
      <c r="D13" s="495">
        <v>5896</v>
      </c>
      <c r="E13" s="495">
        <v>5823</v>
      </c>
      <c r="F13" s="461">
        <v>5628</v>
      </c>
      <c r="G13" s="648">
        <f t="shared" si="1"/>
        <v>0.9545454545454546</v>
      </c>
      <c r="H13" s="648">
        <f t="shared" si="0"/>
        <v>0.9665121071612571</v>
      </c>
    </row>
    <row r="14" spans="1:8" s="7" customFormat="1" ht="12" customHeight="1">
      <c r="A14" s="199"/>
      <c r="B14" s="447" t="s">
        <v>199</v>
      </c>
      <c r="C14" s="959">
        <v>3180</v>
      </c>
      <c r="D14" s="495">
        <v>1780</v>
      </c>
      <c r="E14" s="495">
        <v>1846</v>
      </c>
      <c r="F14" s="461">
        <v>1849</v>
      </c>
      <c r="G14" s="648">
        <f t="shared" si="1"/>
        <v>1.0387640449438202</v>
      </c>
      <c r="H14" s="648">
        <f t="shared" si="0"/>
        <v>1.0016251354279524</v>
      </c>
    </row>
    <row r="15" spans="1:8" s="7" customFormat="1" ht="12" customHeight="1">
      <c r="A15" s="199"/>
      <c r="B15" s="447" t="s">
        <v>315</v>
      </c>
      <c r="C15" s="959">
        <v>123</v>
      </c>
      <c r="D15" s="495">
        <v>350</v>
      </c>
      <c r="E15" s="495">
        <v>207</v>
      </c>
      <c r="F15" s="461">
        <v>300</v>
      </c>
      <c r="G15" s="648">
        <f t="shared" si="1"/>
        <v>0.8571428571428571</v>
      </c>
      <c r="H15" s="648">
        <f t="shared" si="0"/>
        <v>1.4492753623188406</v>
      </c>
    </row>
    <row r="16" spans="1:8" s="7" customFormat="1" ht="12" customHeight="1">
      <c r="A16" s="199" t="s">
        <v>526</v>
      </c>
      <c r="B16" s="449" t="s">
        <v>462</v>
      </c>
      <c r="C16" s="958">
        <v>90512</v>
      </c>
      <c r="D16" s="495">
        <v>79538</v>
      </c>
      <c r="E16" s="495">
        <v>85905</v>
      </c>
      <c r="F16" s="461">
        <v>89898</v>
      </c>
      <c r="G16" s="648">
        <f t="shared" si="1"/>
        <v>1.1302522064924942</v>
      </c>
      <c r="H16" s="648">
        <f t="shared" si="0"/>
        <v>1.0464815784878645</v>
      </c>
    </row>
    <row r="17" spans="1:8" s="6" customFormat="1" ht="24" customHeight="1">
      <c r="A17" s="198" t="s">
        <v>729</v>
      </c>
      <c r="B17" s="460" t="s">
        <v>195</v>
      </c>
      <c r="C17" s="954">
        <f>SUM(C18,C20)</f>
        <v>0</v>
      </c>
      <c r="D17" s="461">
        <f>SUM(D18,D20)</f>
        <v>0</v>
      </c>
      <c r="E17" s="461">
        <f>SUM(E18,E20)</f>
        <v>2470</v>
      </c>
      <c r="F17" s="461">
        <f>SUM(F18,F20)</f>
        <v>0</v>
      </c>
      <c r="G17" s="547">
        <f t="shared" si="1"/>
        <v>0</v>
      </c>
      <c r="H17" s="547">
        <f t="shared" si="0"/>
        <v>0</v>
      </c>
    </row>
    <row r="18" spans="1:8" s="7" customFormat="1" ht="12" customHeight="1">
      <c r="A18" s="583"/>
      <c r="B18" s="965" t="s">
        <v>405</v>
      </c>
      <c r="C18" s="966">
        <v>0</v>
      </c>
      <c r="D18" s="496">
        <v>0</v>
      </c>
      <c r="E18" s="496">
        <v>2470</v>
      </c>
      <c r="F18" s="580">
        <v>0</v>
      </c>
      <c r="G18" s="517">
        <f t="shared" si="1"/>
        <v>0</v>
      </c>
      <c r="H18" s="517">
        <f t="shared" si="0"/>
        <v>0</v>
      </c>
    </row>
    <row r="19" spans="1:8" s="7" customFormat="1" ht="12" customHeight="1">
      <c r="A19" s="581"/>
      <c r="B19" s="968" t="s">
        <v>447</v>
      </c>
      <c r="C19" s="969">
        <v>0</v>
      </c>
      <c r="D19" s="497">
        <v>0</v>
      </c>
      <c r="E19" s="497">
        <v>2470</v>
      </c>
      <c r="F19" s="990">
        <v>0</v>
      </c>
      <c r="G19" s="970">
        <f>IF(D19=0,0,F19/D19)</f>
        <v>0</v>
      </c>
      <c r="H19" s="970">
        <f>IF(E19=0,0,F19/E19)</f>
        <v>0</v>
      </c>
    </row>
    <row r="20" spans="1:8" s="7" customFormat="1" ht="24" customHeight="1">
      <c r="A20" s="199"/>
      <c r="B20" s="972" t="s">
        <v>406</v>
      </c>
      <c r="C20" s="973">
        <v>0</v>
      </c>
      <c r="D20" s="495">
        <v>0</v>
      </c>
      <c r="E20" s="495">
        <v>0</v>
      </c>
      <c r="F20" s="461">
        <v>0</v>
      </c>
      <c r="G20" s="648">
        <f t="shared" si="1"/>
        <v>0</v>
      </c>
      <c r="H20" s="648">
        <f t="shared" si="0"/>
        <v>0</v>
      </c>
    </row>
    <row r="21" spans="1:8" s="7" customFormat="1" ht="12" customHeight="1">
      <c r="A21" s="199" t="s">
        <v>730</v>
      </c>
      <c r="B21" s="449" t="s">
        <v>185</v>
      </c>
      <c r="C21" s="958">
        <v>28</v>
      </c>
      <c r="D21" s="495">
        <v>0</v>
      </c>
      <c r="E21" s="495">
        <v>0</v>
      </c>
      <c r="F21" s="461">
        <v>0</v>
      </c>
      <c r="G21" s="648">
        <f t="shared" si="1"/>
        <v>0</v>
      </c>
      <c r="H21" s="648">
        <f t="shared" si="0"/>
        <v>0</v>
      </c>
    </row>
    <row r="22" spans="1:8" s="7" customFormat="1" ht="12" customHeight="1">
      <c r="A22" s="199" t="s">
        <v>731</v>
      </c>
      <c r="B22" s="449" t="s">
        <v>83</v>
      </c>
      <c r="C22" s="958">
        <v>0</v>
      </c>
      <c r="D22" s="495">
        <v>0</v>
      </c>
      <c r="E22" s="495">
        <v>0</v>
      </c>
      <c r="F22" s="461">
        <v>0</v>
      </c>
      <c r="G22" s="648">
        <f>IF(D22=0,0,F22/D22)</f>
        <v>0</v>
      </c>
      <c r="H22" s="648">
        <f>IF(E22=0,0,F22/E22)</f>
        <v>0</v>
      </c>
    </row>
    <row r="23" spans="1:8" s="536" customFormat="1" ht="13.5">
      <c r="A23" s="531" t="s">
        <v>805</v>
      </c>
      <c r="B23" s="532" t="s">
        <v>317</v>
      </c>
      <c r="C23" s="568">
        <f>SUM(C10,C11,C16,C17,C21,C22)</f>
        <v>344086</v>
      </c>
      <c r="D23" s="568">
        <f>SUM(D10,D11,D16,D17,D21,D22)</f>
        <v>346867</v>
      </c>
      <c r="E23" s="568">
        <f>SUM(E10,E11,E16,E17,E21,E22)</f>
        <v>353337</v>
      </c>
      <c r="F23" s="568">
        <f>SUM(F10,F11,F16,F17,F21,F22)</f>
        <v>345581</v>
      </c>
      <c r="G23" s="502">
        <f t="shared" si="1"/>
        <v>0.9962925271069315</v>
      </c>
      <c r="H23" s="502">
        <f t="shared" si="0"/>
        <v>0.9780492843942186</v>
      </c>
    </row>
    <row r="24" spans="1:8" s="7" customFormat="1" ht="12" customHeight="1">
      <c r="A24" s="199" t="s">
        <v>732</v>
      </c>
      <c r="B24" s="449" t="s">
        <v>200</v>
      </c>
      <c r="C24" s="958">
        <v>42947</v>
      </c>
      <c r="D24" s="495">
        <v>0</v>
      </c>
      <c r="E24" s="495">
        <v>3688</v>
      </c>
      <c r="F24" s="461">
        <v>0</v>
      </c>
      <c r="G24" s="648">
        <f t="shared" si="1"/>
        <v>0</v>
      </c>
      <c r="H24" s="648">
        <f t="shared" si="0"/>
        <v>0</v>
      </c>
    </row>
    <row r="25" spans="1:8" s="7" customFormat="1" ht="12" customHeight="1">
      <c r="A25" s="199" t="s">
        <v>733</v>
      </c>
      <c r="B25" s="449" t="s">
        <v>203</v>
      </c>
      <c r="C25" s="958">
        <v>5488</v>
      </c>
      <c r="D25" s="495">
        <v>0</v>
      </c>
      <c r="E25" s="495">
        <v>1748</v>
      </c>
      <c r="F25" s="461">
        <v>0</v>
      </c>
      <c r="G25" s="648">
        <f t="shared" si="1"/>
        <v>0</v>
      </c>
      <c r="H25" s="648">
        <f t="shared" si="0"/>
        <v>0</v>
      </c>
    </row>
    <row r="26" spans="1:8" s="6" customFormat="1" ht="25.5" customHeight="1">
      <c r="A26" s="198" t="s">
        <v>734</v>
      </c>
      <c r="B26" s="460" t="s">
        <v>196</v>
      </c>
      <c r="C26" s="955">
        <f>SUM(C28,C30)</f>
        <v>0</v>
      </c>
      <c r="D26" s="461">
        <f>SUM(D28,D30)</f>
        <v>0</v>
      </c>
      <c r="E26" s="461">
        <f>SUM(E28,E30)</f>
        <v>0</v>
      </c>
      <c r="F26" s="461">
        <f>SUM(F28,F30)</f>
        <v>0</v>
      </c>
      <c r="G26" s="547">
        <f t="shared" si="1"/>
        <v>0</v>
      </c>
      <c r="H26" s="547">
        <f t="shared" si="0"/>
        <v>0</v>
      </c>
    </row>
    <row r="27" spans="1:8" s="7" customFormat="1" ht="12" customHeight="1" hidden="1">
      <c r="A27" s="199"/>
      <c r="B27" s="446"/>
      <c r="C27" s="963"/>
      <c r="D27" s="461"/>
      <c r="E27" s="461"/>
      <c r="F27" s="461"/>
      <c r="G27" s="648">
        <f t="shared" si="1"/>
        <v>0</v>
      </c>
      <c r="H27" s="648">
        <f t="shared" si="0"/>
        <v>0</v>
      </c>
    </row>
    <row r="28" spans="1:8" s="7" customFormat="1" ht="12" customHeight="1">
      <c r="A28" s="583"/>
      <c r="B28" s="965" t="s">
        <v>407</v>
      </c>
      <c r="C28" s="966">
        <v>0</v>
      </c>
      <c r="D28" s="496">
        <v>0</v>
      </c>
      <c r="E28" s="496">
        <v>0</v>
      </c>
      <c r="F28" s="580">
        <v>0</v>
      </c>
      <c r="G28" s="517">
        <f t="shared" si="1"/>
        <v>0</v>
      </c>
      <c r="H28" s="517">
        <f t="shared" si="0"/>
        <v>0</v>
      </c>
    </row>
    <row r="29" spans="1:8" s="7" customFormat="1" ht="12" customHeight="1">
      <c r="A29" s="581"/>
      <c r="B29" s="968" t="s">
        <v>447</v>
      </c>
      <c r="C29" s="969">
        <v>0</v>
      </c>
      <c r="D29" s="497">
        <v>0</v>
      </c>
      <c r="E29" s="497">
        <v>0</v>
      </c>
      <c r="F29" s="990">
        <v>0</v>
      </c>
      <c r="G29" s="970">
        <f>IF(D29=0,0,F29/D29)</f>
        <v>0</v>
      </c>
      <c r="H29" s="970">
        <f>IF(E29=0,0,F29/E29)</f>
        <v>0</v>
      </c>
    </row>
    <row r="30" spans="1:8" s="7" customFormat="1" ht="24" customHeight="1">
      <c r="A30" s="199"/>
      <c r="B30" s="972" t="s">
        <v>408</v>
      </c>
      <c r="C30" s="973">
        <v>0</v>
      </c>
      <c r="D30" s="495">
        <v>0</v>
      </c>
      <c r="E30" s="495">
        <v>0</v>
      </c>
      <c r="F30" s="461">
        <v>0</v>
      </c>
      <c r="G30" s="648">
        <f t="shared" si="1"/>
        <v>0</v>
      </c>
      <c r="H30" s="648">
        <f t="shared" si="0"/>
        <v>0</v>
      </c>
    </row>
    <row r="31" spans="1:8" s="533" customFormat="1" ht="12" customHeight="1">
      <c r="A31" s="531" t="s">
        <v>327</v>
      </c>
      <c r="B31" s="532" t="s">
        <v>318</v>
      </c>
      <c r="C31" s="956">
        <f>SUM(C24,C25,C26)</f>
        <v>48435</v>
      </c>
      <c r="D31" s="494">
        <f>SUM(D24,D25,D26)</f>
        <v>0</v>
      </c>
      <c r="E31" s="494">
        <f>SUM(E24,E25,E26)</f>
        <v>5436</v>
      </c>
      <c r="F31" s="494">
        <f>SUM(F24,F25,F26)</f>
        <v>0</v>
      </c>
      <c r="G31" s="502">
        <f t="shared" si="1"/>
        <v>0</v>
      </c>
      <c r="H31" s="502">
        <f t="shared" si="0"/>
        <v>0</v>
      </c>
    </row>
    <row r="32" spans="1:8" s="533" customFormat="1" ht="13.5" customHeight="1">
      <c r="A32" s="531"/>
      <c r="B32" s="532" t="s">
        <v>756</v>
      </c>
      <c r="C32" s="956">
        <f>SUM(C23,C24:C26)</f>
        <v>392521</v>
      </c>
      <c r="D32" s="494">
        <f>SUM(D23,D24:D26)</f>
        <v>346867</v>
      </c>
      <c r="E32" s="494">
        <f>SUM(E23,E24:E26)</f>
        <v>358773</v>
      </c>
      <c r="F32" s="494">
        <f>SUM(F23,F24:F26)</f>
        <v>345581</v>
      </c>
      <c r="G32" s="502">
        <f t="shared" si="1"/>
        <v>0.9962925271069315</v>
      </c>
      <c r="H32" s="502">
        <f t="shared" si="0"/>
        <v>0.9632302319293815</v>
      </c>
    </row>
    <row r="33" spans="1:8" s="533" customFormat="1" ht="12" customHeight="1">
      <c r="A33" s="531"/>
      <c r="B33" s="974" t="s">
        <v>319</v>
      </c>
      <c r="C33" s="975"/>
      <c r="D33" s="461"/>
      <c r="E33" s="461"/>
      <c r="F33" s="461"/>
      <c r="G33" s="648"/>
      <c r="H33" s="648"/>
    </row>
    <row r="34" spans="1:8" s="533" customFormat="1" ht="12" customHeight="1">
      <c r="A34" s="199" t="s">
        <v>524</v>
      </c>
      <c r="B34" s="976" t="s">
        <v>400</v>
      </c>
      <c r="C34" s="977">
        <v>0</v>
      </c>
      <c r="D34" s="495">
        <v>0</v>
      </c>
      <c r="E34" s="495">
        <v>0</v>
      </c>
      <c r="F34" s="461">
        <v>0</v>
      </c>
      <c r="G34" s="517">
        <f t="shared" si="1"/>
        <v>0</v>
      </c>
      <c r="H34" s="517">
        <f t="shared" si="0"/>
        <v>0</v>
      </c>
    </row>
    <row r="35" spans="1:8" s="533" customFormat="1" ht="24" customHeight="1">
      <c r="A35" s="583" t="s">
        <v>525</v>
      </c>
      <c r="B35" s="978" t="s">
        <v>791</v>
      </c>
      <c r="C35" s="979">
        <v>17847</v>
      </c>
      <c r="D35" s="496">
        <v>19086</v>
      </c>
      <c r="E35" s="496">
        <v>18234</v>
      </c>
      <c r="F35" s="1202">
        <v>20742</v>
      </c>
      <c r="G35" s="517">
        <f t="shared" si="1"/>
        <v>1.086765168186105</v>
      </c>
      <c r="H35" s="517">
        <f t="shared" si="0"/>
        <v>1.1375452451464299</v>
      </c>
    </row>
    <row r="36" spans="1:8" s="533" customFormat="1" ht="12" customHeight="1">
      <c r="A36" s="581"/>
      <c r="B36" s="980" t="s">
        <v>396</v>
      </c>
      <c r="C36" s="981">
        <v>0</v>
      </c>
      <c r="D36" s="497">
        <v>0</v>
      </c>
      <c r="E36" s="497">
        <v>0</v>
      </c>
      <c r="F36" s="1203">
        <v>0</v>
      </c>
      <c r="G36" s="970">
        <f>IF(D36=0,0,F36/D36)</f>
        <v>0</v>
      </c>
      <c r="H36" s="970">
        <f>IF(E36=0,0,F36/E36)</f>
        <v>0</v>
      </c>
    </row>
    <row r="37" spans="1:8" s="533" customFormat="1" ht="12" customHeight="1">
      <c r="A37" s="199" t="s">
        <v>526</v>
      </c>
      <c r="B37" s="36" t="s">
        <v>726</v>
      </c>
      <c r="C37" s="498">
        <v>209</v>
      </c>
      <c r="D37" s="495">
        <v>271</v>
      </c>
      <c r="E37" s="495">
        <v>242</v>
      </c>
      <c r="F37" s="461">
        <v>288</v>
      </c>
      <c r="G37" s="970">
        <f t="shared" si="1"/>
        <v>1.062730627306273</v>
      </c>
      <c r="H37" s="970">
        <f t="shared" si="0"/>
        <v>1.1900826446280992</v>
      </c>
    </row>
    <row r="38" spans="1:8" s="533" customFormat="1" ht="12" customHeight="1">
      <c r="A38" s="199" t="s">
        <v>729</v>
      </c>
      <c r="B38" s="449" t="s">
        <v>607</v>
      </c>
      <c r="C38" s="498">
        <v>18</v>
      </c>
      <c r="D38" s="495">
        <v>21</v>
      </c>
      <c r="E38" s="495">
        <v>13</v>
      </c>
      <c r="F38" s="461">
        <v>20</v>
      </c>
      <c r="G38" s="648">
        <f t="shared" si="1"/>
        <v>0.9523809523809523</v>
      </c>
      <c r="H38" s="648">
        <f t="shared" si="0"/>
        <v>1.5384615384615385</v>
      </c>
    </row>
    <row r="39" spans="1:8" s="533" customFormat="1" ht="12" customHeight="1">
      <c r="A39" s="199" t="s">
        <v>730</v>
      </c>
      <c r="B39" s="449" t="s">
        <v>349</v>
      </c>
      <c r="C39" s="499">
        <v>3046</v>
      </c>
      <c r="D39" s="495">
        <v>2483</v>
      </c>
      <c r="E39" s="495">
        <v>4605</v>
      </c>
      <c r="F39" s="461">
        <v>7426</v>
      </c>
      <c r="G39" s="648">
        <f t="shared" si="1"/>
        <v>2.99073701167942</v>
      </c>
      <c r="H39" s="648">
        <f t="shared" si="0"/>
        <v>1.6125950054288816</v>
      </c>
    </row>
    <row r="40" spans="1:8" s="533" customFormat="1" ht="25.5" customHeight="1">
      <c r="A40" s="583" t="s">
        <v>731</v>
      </c>
      <c r="B40" s="982" t="s">
        <v>192</v>
      </c>
      <c r="C40" s="983">
        <v>56023</v>
      </c>
      <c r="D40" s="496">
        <v>0</v>
      </c>
      <c r="E40" s="496">
        <v>6065</v>
      </c>
      <c r="F40" s="580">
        <v>0</v>
      </c>
      <c r="G40" s="517">
        <f t="shared" si="1"/>
        <v>0</v>
      </c>
      <c r="H40" s="517">
        <f t="shared" si="0"/>
        <v>0</v>
      </c>
    </row>
    <row r="41" spans="1:8" s="533" customFormat="1" ht="12" customHeight="1">
      <c r="A41" s="581"/>
      <c r="B41" s="968" t="s">
        <v>447</v>
      </c>
      <c r="C41" s="981">
        <v>0</v>
      </c>
      <c r="D41" s="497">
        <v>0</v>
      </c>
      <c r="E41" s="497">
        <v>5960</v>
      </c>
      <c r="F41" s="990">
        <v>0</v>
      </c>
      <c r="G41" s="970">
        <f>IF(D41=0,0,F41/D41)</f>
        <v>0</v>
      </c>
      <c r="H41" s="970">
        <f>IF(E41=0,0,F41/E41)</f>
        <v>0</v>
      </c>
    </row>
    <row r="42" spans="1:8" s="533" customFormat="1" ht="24" customHeight="1">
      <c r="A42" s="199" t="s">
        <v>732</v>
      </c>
      <c r="B42" s="984" t="s">
        <v>625</v>
      </c>
      <c r="C42" s="985">
        <v>5</v>
      </c>
      <c r="D42" s="495">
        <v>0</v>
      </c>
      <c r="E42" s="495">
        <v>279</v>
      </c>
      <c r="F42" s="580">
        <v>0</v>
      </c>
      <c r="G42" s="648">
        <f t="shared" si="1"/>
        <v>0</v>
      </c>
      <c r="H42" s="648">
        <f t="shared" si="0"/>
        <v>0</v>
      </c>
    </row>
    <row r="43" spans="1:8" s="533" customFormat="1" ht="12" customHeight="1">
      <c r="A43" s="583" t="s">
        <v>733</v>
      </c>
      <c r="B43" s="982" t="s">
        <v>194</v>
      </c>
      <c r="C43" s="983">
        <v>280</v>
      </c>
      <c r="D43" s="496">
        <v>0</v>
      </c>
      <c r="E43" s="496">
        <v>992</v>
      </c>
      <c r="F43" s="580">
        <v>0</v>
      </c>
      <c r="G43" s="517">
        <f t="shared" si="1"/>
        <v>0</v>
      </c>
      <c r="H43" s="517">
        <f t="shared" si="0"/>
        <v>0</v>
      </c>
    </row>
    <row r="44" spans="1:8" s="533" customFormat="1" ht="12" customHeight="1">
      <c r="A44" s="581"/>
      <c r="B44" s="968" t="s">
        <v>447</v>
      </c>
      <c r="C44" s="981">
        <v>0</v>
      </c>
      <c r="D44" s="497"/>
      <c r="E44" s="497">
        <v>992</v>
      </c>
      <c r="F44" s="990">
        <v>0</v>
      </c>
      <c r="G44" s="970">
        <f>IF(D44=0,0,F44/D44)</f>
        <v>0</v>
      </c>
      <c r="H44" s="970">
        <f>IF(E44=0,0,F44/E44)</f>
        <v>0</v>
      </c>
    </row>
    <row r="45" spans="1:8" s="533" customFormat="1" ht="24" customHeight="1">
      <c r="A45" s="199" t="s">
        <v>734</v>
      </c>
      <c r="B45" s="984" t="s">
        <v>418</v>
      </c>
      <c r="C45" s="986">
        <v>0</v>
      </c>
      <c r="D45" s="495">
        <v>0</v>
      </c>
      <c r="E45" s="495">
        <v>1472</v>
      </c>
      <c r="F45" s="990">
        <v>0</v>
      </c>
      <c r="G45" s="648">
        <f t="shared" si="1"/>
        <v>0</v>
      </c>
      <c r="H45" s="648">
        <f t="shared" si="0"/>
        <v>0</v>
      </c>
    </row>
    <row r="46" spans="1:8" s="533" customFormat="1" ht="12" customHeight="1">
      <c r="A46" s="199" t="s">
        <v>735</v>
      </c>
      <c r="B46" s="449" t="s">
        <v>311</v>
      </c>
      <c r="C46" s="498">
        <v>0</v>
      </c>
      <c r="D46" s="495">
        <v>0</v>
      </c>
      <c r="E46" s="495">
        <v>0</v>
      </c>
      <c r="F46" s="461">
        <v>0</v>
      </c>
      <c r="G46" s="648">
        <f t="shared" si="1"/>
        <v>0</v>
      </c>
      <c r="H46" s="648">
        <f t="shared" si="0"/>
        <v>0</v>
      </c>
    </row>
    <row r="47" spans="1:8" s="533" customFormat="1" ht="12" customHeight="1">
      <c r="A47" s="199" t="s">
        <v>736</v>
      </c>
      <c r="B47" s="449" t="s">
        <v>312</v>
      </c>
      <c r="C47" s="498">
        <v>57378</v>
      </c>
      <c r="D47" s="495">
        <v>0</v>
      </c>
      <c r="E47" s="495">
        <v>9640</v>
      </c>
      <c r="F47" s="461">
        <v>0</v>
      </c>
      <c r="G47" s="648">
        <f t="shared" si="1"/>
        <v>0</v>
      </c>
      <c r="H47" s="648">
        <f t="shared" si="0"/>
        <v>0</v>
      </c>
    </row>
    <row r="48" spans="1:8" s="533" customFormat="1" ht="12" customHeight="1">
      <c r="A48" s="531"/>
      <c r="B48" s="532" t="s">
        <v>768</v>
      </c>
      <c r="C48" s="494">
        <f>SUM(C34:C47)-C36-C41-C44</f>
        <v>134806</v>
      </c>
      <c r="D48" s="494">
        <f>SUM(D34:D47)-D36-D41-D44</f>
        <v>21861</v>
      </c>
      <c r="E48" s="494">
        <f>SUM(E34:E47)-E36-E41-E44</f>
        <v>41542</v>
      </c>
      <c r="F48" s="494">
        <f>SUM(F34:F47)-F36-F41-F44</f>
        <v>28476</v>
      </c>
      <c r="G48" s="502">
        <f t="shared" si="1"/>
        <v>1.302593659942363</v>
      </c>
      <c r="H48" s="502">
        <f t="shared" si="0"/>
        <v>0.6854749410235425</v>
      </c>
    </row>
    <row r="49" spans="1:8" s="536" customFormat="1" ht="13.5">
      <c r="A49" s="537" t="s">
        <v>737</v>
      </c>
      <c r="B49" s="532" t="s">
        <v>351</v>
      </c>
      <c r="C49" s="397">
        <v>315496</v>
      </c>
      <c r="D49" s="494">
        <v>325006</v>
      </c>
      <c r="E49" s="494">
        <v>327416</v>
      </c>
      <c r="F49" s="494">
        <v>317105</v>
      </c>
      <c r="G49" s="535">
        <f t="shared" si="1"/>
        <v>0.9756896795751463</v>
      </c>
      <c r="H49" s="535">
        <f t="shared" si="0"/>
        <v>0.968507953184939</v>
      </c>
    </row>
    <row r="50" spans="1:8" s="536" customFormat="1" ht="12" customHeight="1">
      <c r="A50" s="346"/>
      <c r="B50" s="987" t="s">
        <v>197</v>
      </c>
      <c r="C50" s="947">
        <v>0</v>
      </c>
      <c r="D50" s="451">
        <v>176975</v>
      </c>
      <c r="E50" s="451">
        <v>180283</v>
      </c>
      <c r="F50" s="992">
        <v>159433</v>
      </c>
      <c r="G50" s="648">
        <f t="shared" si="1"/>
        <v>0.9008786551772849</v>
      </c>
      <c r="H50" s="648">
        <f t="shared" si="0"/>
        <v>0.8843484965304549</v>
      </c>
    </row>
    <row r="51" spans="1:8" s="536" customFormat="1" ht="12" customHeight="1">
      <c r="A51" s="346"/>
      <c r="B51" s="565" t="s">
        <v>398</v>
      </c>
      <c r="C51" s="948">
        <v>0</v>
      </c>
      <c r="D51" s="451">
        <v>0</v>
      </c>
      <c r="E51" s="451">
        <v>2631</v>
      </c>
      <c r="F51" s="992">
        <v>0</v>
      </c>
      <c r="G51" s="648">
        <f t="shared" si="1"/>
        <v>0</v>
      </c>
      <c r="H51" s="648">
        <f t="shared" si="0"/>
        <v>0</v>
      </c>
    </row>
    <row r="52" spans="1:8" s="536" customFormat="1" ht="13.5" customHeight="1">
      <c r="A52" s="566"/>
      <c r="B52" s="567" t="s">
        <v>749</v>
      </c>
      <c r="C52" s="793">
        <f>SUM(C48,C49)</f>
        <v>450302</v>
      </c>
      <c r="D52" s="568">
        <f>SUM(D48:D49)</f>
        <v>346867</v>
      </c>
      <c r="E52" s="568">
        <f>SUM(E48:E49)</f>
        <v>368958</v>
      </c>
      <c r="F52" s="568">
        <f>SUM(F48:F49)</f>
        <v>345581</v>
      </c>
      <c r="G52" s="993">
        <f>IF(D52=0,0,F52/D52)</f>
        <v>0.9962925271069315</v>
      </c>
      <c r="H52" s="993">
        <f>IF(E52=0,0,F52/E52)</f>
        <v>0.936640484824831</v>
      </c>
    </row>
    <row r="53" spans="6:9" ht="15.75">
      <c r="F53" s="546"/>
      <c r="G53" s="509"/>
      <c r="H53" s="509"/>
      <c r="I53" s="8"/>
    </row>
  </sheetData>
  <sheetProtection password="CC08"/>
  <mergeCells count="4">
    <mergeCell ref="A1:H1"/>
    <mergeCell ref="A2:H2"/>
    <mergeCell ref="A3:H3"/>
    <mergeCell ref="A4:H4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CE,Normál"3/d. számú melléklet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ntry="1"/>
  <dimension ref="A1:H53"/>
  <sheetViews>
    <sheetView workbookViewId="0" topLeftCell="A37">
      <selection activeCell="F50" sqref="F50"/>
    </sheetView>
  </sheetViews>
  <sheetFormatPr defaultColWidth="9.140625" defaultRowHeight="12.75"/>
  <cols>
    <col min="1" max="1" width="4.00390625" style="8" customWidth="1"/>
    <col min="2" max="2" width="38.57421875" style="10" customWidth="1"/>
    <col min="3" max="3" width="9.8515625" style="10" customWidth="1"/>
    <col min="4" max="4" width="10.28125" style="9" customWidth="1"/>
    <col min="5" max="5" width="9.57421875" style="9" customWidth="1"/>
    <col min="6" max="6" width="10.28125" style="543" customWidth="1"/>
    <col min="7" max="7" width="9.28125" style="3" customWidth="1"/>
    <col min="8" max="16384" width="8.8515625" style="3" customWidth="1"/>
  </cols>
  <sheetData>
    <row r="1" spans="1:8" ht="15.75">
      <c r="A1" s="1342" t="s">
        <v>426</v>
      </c>
      <c r="B1" s="1343"/>
      <c r="C1" s="1343"/>
      <c r="D1" s="1343"/>
      <c r="E1" s="1343"/>
      <c r="F1" s="1343"/>
      <c r="G1" s="1343"/>
      <c r="H1" s="1343"/>
    </row>
    <row r="2" spans="1:8" ht="15.75">
      <c r="A2" s="1348" t="s">
        <v>903</v>
      </c>
      <c r="B2" s="1345"/>
      <c r="C2" s="1345"/>
      <c r="D2" s="1345"/>
      <c r="E2" s="1345"/>
      <c r="F2" s="1345"/>
      <c r="G2" s="1345"/>
      <c r="H2" s="1345"/>
    </row>
    <row r="3" spans="1:8" ht="15.75">
      <c r="A3" s="1348" t="s">
        <v>759</v>
      </c>
      <c r="B3" s="1345"/>
      <c r="C3" s="1345"/>
      <c r="D3" s="1345"/>
      <c r="E3" s="1345"/>
      <c r="F3" s="1345"/>
      <c r="G3" s="1345"/>
      <c r="H3" s="1345"/>
    </row>
    <row r="4" spans="1:8" ht="15.75">
      <c r="A4" s="1366" t="s">
        <v>761</v>
      </c>
      <c r="B4" s="1345"/>
      <c r="C4" s="1345"/>
      <c r="D4" s="1345"/>
      <c r="E4" s="1345"/>
      <c r="F4" s="1345"/>
      <c r="G4" s="1345"/>
      <c r="H4" s="1345"/>
    </row>
    <row r="5" spans="2:8" ht="15.75" customHeight="1">
      <c r="B5" s="720"/>
      <c r="C5" s="720"/>
      <c r="D5" s="4"/>
      <c r="E5" s="4"/>
      <c r="F5" s="4"/>
      <c r="G5" s="721"/>
      <c r="H5" s="722" t="s">
        <v>128</v>
      </c>
    </row>
    <row r="6" spans="1:8" s="5" customFormat="1" ht="39.75" customHeight="1">
      <c r="A6" s="1226" t="s">
        <v>169</v>
      </c>
      <c r="B6" s="197" t="s">
        <v>129</v>
      </c>
      <c r="C6" s="725" t="s">
        <v>257</v>
      </c>
      <c r="D6" s="563" t="s">
        <v>911</v>
      </c>
      <c r="E6" s="563" t="s">
        <v>258</v>
      </c>
      <c r="F6" s="988" t="s">
        <v>249</v>
      </c>
      <c r="G6" s="723" t="s">
        <v>259</v>
      </c>
      <c r="H6" s="723" t="s">
        <v>259</v>
      </c>
    </row>
    <row r="7" spans="1:8" s="5" customFormat="1" ht="12" customHeight="1">
      <c r="A7" s="197" t="s">
        <v>524</v>
      </c>
      <c r="B7" s="445" t="s">
        <v>525</v>
      </c>
      <c r="C7" s="445" t="s">
        <v>526</v>
      </c>
      <c r="D7" s="445" t="s">
        <v>729</v>
      </c>
      <c r="E7" s="445" t="s">
        <v>730</v>
      </c>
      <c r="F7" s="989" t="s">
        <v>731</v>
      </c>
      <c r="G7" s="724" t="s">
        <v>250</v>
      </c>
      <c r="H7" s="724" t="s">
        <v>251</v>
      </c>
    </row>
    <row r="8" spans="1:8" s="6" customFormat="1" ht="12" customHeight="1">
      <c r="A8" s="198"/>
      <c r="B8" s="452" t="s">
        <v>739</v>
      </c>
      <c r="C8" s="952">
        <v>57</v>
      </c>
      <c r="D8" s="544">
        <v>59</v>
      </c>
      <c r="E8" s="544">
        <v>58</v>
      </c>
      <c r="F8" s="58">
        <v>57</v>
      </c>
      <c r="G8" s="453"/>
      <c r="H8" s="453"/>
    </row>
    <row r="9" spans="1:8" s="533" customFormat="1" ht="12" customHeight="1">
      <c r="A9" s="531"/>
      <c r="B9" s="532" t="s">
        <v>459</v>
      </c>
      <c r="C9" s="793"/>
      <c r="D9" s="494"/>
      <c r="E9" s="494"/>
      <c r="F9" s="494"/>
      <c r="G9" s="453"/>
      <c r="H9" s="453"/>
    </row>
    <row r="10" spans="1:8" s="7" customFormat="1" ht="12" customHeight="1">
      <c r="A10" s="199" t="s">
        <v>524</v>
      </c>
      <c r="B10" s="449" t="s">
        <v>460</v>
      </c>
      <c r="C10" s="958">
        <v>133959</v>
      </c>
      <c r="D10" s="495">
        <v>139529</v>
      </c>
      <c r="E10" s="495">
        <v>144246</v>
      </c>
      <c r="F10" s="461">
        <v>138357</v>
      </c>
      <c r="G10" s="648">
        <f>IF(D10=0,0,F10/D10)</f>
        <v>0.9916003124798429</v>
      </c>
      <c r="H10" s="648">
        <f aca="true" t="shared" si="0" ref="H10:H51">IF(E10=0,0,F10/E10)</f>
        <v>0.9591739112349736</v>
      </c>
    </row>
    <row r="11" spans="1:8" s="7" customFormat="1" ht="12" customHeight="1">
      <c r="A11" s="199" t="s">
        <v>525</v>
      </c>
      <c r="B11" s="450" t="s">
        <v>461</v>
      </c>
      <c r="C11" s="964">
        <f>SUM(C12:C15)</f>
        <v>43981</v>
      </c>
      <c r="D11" s="495">
        <f>SUM(D12:D15)</f>
        <v>44694</v>
      </c>
      <c r="E11" s="495">
        <f>SUM(E12:E15)</f>
        <v>46051</v>
      </c>
      <c r="F11" s="461">
        <f>SUM(F12:F15)</f>
        <v>44375</v>
      </c>
      <c r="G11" s="648">
        <f aca="true" t="shared" si="1" ref="G11:G51">IF(D11=0,0,F11/D11)</f>
        <v>0.9928625766322101</v>
      </c>
      <c r="H11" s="648">
        <f t="shared" si="0"/>
        <v>0.9636055677401142</v>
      </c>
    </row>
    <row r="12" spans="1:8" s="7" customFormat="1" ht="12" customHeight="1">
      <c r="A12" s="199"/>
      <c r="B12" s="447" t="s">
        <v>316</v>
      </c>
      <c r="C12" s="959">
        <v>37439</v>
      </c>
      <c r="D12" s="495">
        <v>39060</v>
      </c>
      <c r="E12" s="495">
        <v>40354</v>
      </c>
      <c r="F12" s="461">
        <v>38747</v>
      </c>
      <c r="G12" s="648">
        <f t="shared" si="1"/>
        <v>0.9919866871479774</v>
      </c>
      <c r="H12" s="648">
        <f t="shared" si="0"/>
        <v>0.9601774297467414</v>
      </c>
    </row>
    <row r="13" spans="1:8" s="7" customFormat="1" ht="12" customHeight="1">
      <c r="A13" s="199"/>
      <c r="B13" s="447" t="s">
        <v>198</v>
      </c>
      <c r="C13" s="959">
        <v>3836</v>
      </c>
      <c r="D13" s="495">
        <v>4041</v>
      </c>
      <c r="E13" s="495">
        <v>4183</v>
      </c>
      <c r="F13" s="461">
        <v>4009</v>
      </c>
      <c r="G13" s="648">
        <f t="shared" si="1"/>
        <v>0.992081168027716</v>
      </c>
      <c r="H13" s="648">
        <f t="shared" si="0"/>
        <v>0.9584030600047813</v>
      </c>
    </row>
    <row r="14" spans="1:8" s="7" customFormat="1" ht="12" customHeight="1">
      <c r="A14" s="199"/>
      <c r="B14" s="447" t="s">
        <v>199</v>
      </c>
      <c r="C14" s="959">
        <v>2245</v>
      </c>
      <c r="D14" s="495">
        <v>1308</v>
      </c>
      <c r="E14" s="495">
        <v>1274</v>
      </c>
      <c r="F14" s="461">
        <v>1334</v>
      </c>
      <c r="G14" s="648">
        <f t="shared" si="1"/>
        <v>1.0198776758409787</v>
      </c>
      <c r="H14" s="648">
        <f t="shared" si="0"/>
        <v>1.0470957613814758</v>
      </c>
    </row>
    <row r="15" spans="1:8" s="7" customFormat="1" ht="12" customHeight="1">
      <c r="A15" s="199"/>
      <c r="B15" s="447" t="s">
        <v>315</v>
      </c>
      <c r="C15" s="959">
        <v>461</v>
      </c>
      <c r="D15" s="495">
        <v>285</v>
      </c>
      <c r="E15" s="495">
        <v>240</v>
      </c>
      <c r="F15" s="461">
        <v>285</v>
      </c>
      <c r="G15" s="648">
        <f t="shared" si="1"/>
        <v>1</v>
      </c>
      <c r="H15" s="648">
        <f t="shared" si="0"/>
        <v>1.1875</v>
      </c>
    </row>
    <row r="16" spans="1:8" s="7" customFormat="1" ht="12" customHeight="1">
      <c r="A16" s="199" t="s">
        <v>526</v>
      </c>
      <c r="B16" s="449" t="s">
        <v>462</v>
      </c>
      <c r="C16" s="958">
        <v>55151</v>
      </c>
      <c r="D16" s="495">
        <v>42732</v>
      </c>
      <c r="E16" s="495">
        <v>47998</v>
      </c>
      <c r="F16" s="461">
        <v>46003</v>
      </c>
      <c r="G16" s="648">
        <f t="shared" si="1"/>
        <v>1.0765468501357296</v>
      </c>
      <c r="H16" s="648">
        <f t="shared" si="0"/>
        <v>0.9584357681570066</v>
      </c>
    </row>
    <row r="17" spans="1:8" s="6" customFormat="1" ht="24" customHeight="1">
      <c r="A17" s="198" t="s">
        <v>729</v>
      </c>
      <c r="B17" s="460" t="s">
        <v>195</v>
      </c>
      <c r="C17" s="954">
        <f>SUM(C18,C20)</f>
        <v>0</v>
      </c>
      <c r="D17" s="461">
        <f>SUM(D18,D20)</f>
        <v>0</v>
      </c>
      <c r="E17" s="461">
        <f>SUM(E18,E20)</f>
        <v>5765</v>
      </c>
      <c r="F17" s="461">
        <f>SUM(F18,F20)</f>
        <v>0</v>
      </c>
      <c r="G17" s="547">
        <f t="shared" si="1"/>
        <v>0</v>
      </c>
      <c r="H17" s="547">
        <f t="shared" si="0"/>
        <v>0</v>
      </c>
    </row>
    <row r="18" spans="1:8" s="7" customFormat="1" ht="12" customHeight="1">
      <c r="A18" s="583"/>
      <c r="B18" s="965" t="s">
        <v>405</v>
      </c>
      <c r="C18" s="966">
        <v>0</v>
      </c>
      <c r="D18" s="496">
        <v>0</v>
      </c>
      <c r="E18" s="496">
        <v>5765</v>
      </c>
      <c r="F18" s="580">
        <v>0</v>
      </c>
      <c r="G18" s="517">
        <f t="shared" si="1"/>
        <v>0</v>
      </c>
      <c r="H18" s="517">
        <f t="shared" si="0"/>
        <v>0</v>
      </c>
    </row>
    <row r="19" spans="1:8" s="7" customFormat="1" ht="12" customHeight="1">
      <c r="A19" s="581"/>
      <c r="B19" s="968" t="s">
        <v>447</v>
      </c>
      <c r="C19" s="969">
        <v>0</v>
      </c>
      <c r="D19" s="497"/>
      <c r="E19" s="497">
        <v>5765</v>
      </c>
      <c r="F19" s="990">
        <v>0</v>
      </c>
      <c r="G19" s="970">
        <f>IF(D19=0,0,F19/D19)</f>
        <v>0</v>
      </c>
      <c r="H19" s="970">
        <f>IF(E19=0,0,F19/E19)</f>
        <v>0</v>
      </c>
    </row>
    <row r="20" spans="1:8" s="7" customFormat="1" ht="24" customHeight="1">
      <c r="A20" s="199"/>
      <c r="B20" s="972" t="s">
        <v>406</v>
      </c>
      <c r="C20" s="973">
        <v>0</v>
      </c>
      <c r="D20" s="495">
        <v>0</v>
      </c>
      <c r="E20" s="495">
        <v>0</v>
      </c>
      <c r="F20" s="461">
        <v>0</v>
      </c>
      <c r="G20" s="648">
        <f t="shared" si="1"/>
        <v>0</v>
      </c>
      <c r="H20" s="648">
        <f t="shared" si="0"/>
        <v>0</v>
      </c>
    </row>
    <row r="21" spans="1:8" s="7" customFormat="1" ht="12" customHeight="1">
      <c r="A21" s="199" t="s">
        <v>730</v>
      </c>
      <c r="B21" s="449" t="s">
        <v>185</v>
      </c>
      <c r="C21" s="958">
        <v>0</v>
      </c>
      <c r="D21" s="495">
        <v>0</v>
      </c>
      <c r="E21" s="495">
        <v>742</v>
      </c>
      <c r="F21" s="461">
        <v>0</v>
      </c>
      <c r="G21" s="648">
        <f t="shared" si="1"/>
        <v>0</v>
      </c>
      <c r="H21" s="648">
        <f t="shared" si="0"/>
        <v>0</v>
      </c>
    </row>
    <row r="22" spans="1:8" s="7" customFormat="1" ht="12" customHeight="1">
      <c r="A22" s="199" t="s">
        <v>731</v>
      </c>
      <c r="B22" s="449" t="s">
        <v>83</v>
      </c>
      <c r="C22" s="958">
        <v>0</v>
      </c>
      <c r="D22" s="495">
        <v>0</v>
      </c>
      <c r="E22" s="495">
        <v>0</v>
      </c>
      <c r="F22" s="461">
        <v>0</v>
      </c>
      <c r="G22" s="648">
        <f>IF(D22=0,0,F22/D22)</f>
        <v>0</v>
      </c>
      <c r="H22" s="648">
        <f>IF(E22=0,0,F22/E22)</f>
        <v>0</v>
      </c>
    </row>
    <row r="23" spans="1:8" s="536" customFormat="1" ht="13.5">
      <c r="A23" s="531" t="s">
        <v>805</v>
      </c>
      <c r="B23" s="532" t="s">
        <v>317</v>
      </c>
      <c r="C23" s="568">
        <f>SUM(C10,C11,C16,C17,C21,C22)</f>
        <v>233091</v>
      </c>
      <c r="D23" s="568">
        <f>SUM(D10,D11,D16,D17,D21,D22)</f>
        <v>226955</v>
      </c>
      <c r="E23" s="568">
        <f>SUM(E10,E11,E16,E17,E21,E22)</f>
        <v>244802</v>
      </c>
      <c r="F23" s="568">
        <f>SUM(F10,F11,F16,F17,F21,F22)</f>
        <v>228735</v>
      </c>
      <c r="G23" s="502">
        <f t="shared" si="1"/>
        <v>1.0078429644643212</v>
      </c>
      <c r="H23" s="502">
        <f t="shared" si="0"/>
        <v>0.9343673662796873</v>
      </c>
    </row>
    <row r="24" spans="1:8" s="7" customFormat="1" ht="12" customHeight="1">
      <c r="A24" s="199" t="s">
        <v>732</v>
      </c>
      <c r="B24" s="449" t="s">
        <v>200</v>
      </c>
      <c r="C24" s="958">
        <v>0</v>
      </c>
      <c r="D24" s="495">
        <v>0</v>
      </c>
      <c r="E24" s="495">
        <v>31777</v>
      </c>
      <c r="F24" s="461">
        <v>0</v>
      </c>
      <c r="G24" s="648">
        <f t="shared" si="1"/>
        <v>0</v>
      </c>
      <c r="H24" s="648">
        <f t="shared" si="0"/>
        <v>0</v>
      </c>
    </row>
    <row r="25" spans="1:8" s="7" customFormat="1" ht="12" customHeight="1">
      <c r="A25" s="199" t="s">
        <v>733</v>
      </c>
      <c r="B25" s="449" t="s">
        <v>203</v>
      </c>
      <c r="C25" s="958">
        <v>1003</v>
      </c>
      <c r="D25" s="495">
        <v>0</v>
      </c>
      <c r="E25" s="495">
        <v>774</v>
      </c>
      <c r="F25" s="461">
        <v>0</v>
      </c>
      <c r="G25" s="648">
        <f t="shared" si="1"/>
        <v>0</v>
      </c>
      <c r="H25" s="648">
        <f t="shared" si="0"/>
        <v>0</v>
      </c>
    </row>
    <row r="26" spans="1:8" s="6" customFormat="1" ht="25.5" customHeight="1">
      <c r="A26" s="198" t="s">
        <v>734</v>
      </c>
      <c r="B26" s="460" t="s">
        <v>196</v>
      </c>
      <c r="C26" s="955">
        <f>SUM(C28,C30)</f>
        <v>0</v>
      </c>
      <c r="D26" s="461">
        <f>SUM(D28:D30)</f>
        <v>0</v>
      </c>
      <c r="E26" s="461">
        <f>SUM(E28:E30)</f>
        <v>0</v>
      </c>
      <c r="F26" s="461">
        <f>SUM(F28,F30)</f>
        <v>0</v>
      </c>
      <c r="G26" s="648">
        <f t="shared" si="1"/>
        <v>0</v>
      </c>
      <c r="H26" s="648">
        <f t="shared" si="0"/>
        <v>0</v>
      </c>
    </row>
    <row r="27" spans="1:8" s="7" customFormat="1" ht="12" customHeight="1" hidden="1">
      <c r="A27" s="199"/>
      <c r="B27" s="446"/>
      <c r="C27" s="963"/>
      <c r="D27" s="461"/>
      <c r="E27" s="461"/>
      <c r="F27" s="461"/>
      <c r="G27" s="648">
        <f t="shared" si="1"/>
        <v>0</v>
      </c>
      <c r="H27" s="648">
        <f t="shared" si="0"/>
        <v>0</v>
      </c>
    </row>
    <row r="28" spans="1:8" s="7" customFormat="1" ht="12" customHeight="1">
      <c r="A28" s="583"/>
      <c r="B28" s="965" t="s">
        <v>407</v>
      </c>
      <c r="C28" s="966">
        <v>0</v>
      </c>
      <c r="D28" s="496">
        <v>0</v>
      </c>
      <c r="E28" s="496">
        <v>0</v>
      </c>
      <c r="F28" s="580">
        <v>0</v>
      </c>
      <c r="G28" s="517">
        <f t="shared" si="1"/>
        <v>0</v>
      </c>
      <c r="H28" s="517">
        <f t="shared" si="0"/>
        <v>0</v>
      </c>
    </row>
    <row r="29" spans="1:8" s="7" customFormat="1" ht="12" customHeight="1">
      <c r="A29" s="581"/>
      <c r="B29" s="968" t="s">
        <v>447</v>
      </c>
      <c r="C29" s="969">
        <v>0</v>
      </c>
      <c r="D29" s="497"/>
      <c r="E29" s="497"/>
      <c r="F29" s="990">
        <v>0</v>
      </c>
      <c r="G29" s="970">
        <f>IF(D29=0,0,F29/D29)</f>
        <v>0</v>
      </c>
      <c r="H29" s="970">
        <f>IF(E29=0,0,F29/E29)</f>
        <v>0</v>
      </c>
    </row>
    <row r="30" spans="1:8" s="7" customFormat="1" ht="24" customHeight="1">
      <c r="A30" s="199"/>
      <c r="B30" s="972" t="s">
        <v>408</v>
      </c>
      <c r="C30" s="973">
        <v>0</v>
      </c>
      <c r="D30" s="495">
        <v>0</v>
      </c>
      <c r="E30" s="495">
        <v>0</v>
      </c>
      <c r="F30" s="461">
        <v>0</v>
      </c>
      <c r="G30" s="648">
        <f t="shared" si="1"/>
        <v>0</v>
      </c>
      <c r="H30" s="648">
        <f t="shared" si="0"/>
        <v>0</v>
      </c>
    </row>
    <row r="31" spans="1:8" s="533" customFormat="1" ht="12" customHeight="1">
      <c r="A31" s="531" t="s">
        <v>327</v>
      </c>
      <c r="B31" s="532" t="s">
        <v>318</v>
      </c>
      <c r="C31" s="956">
        <f>SUM(C24,C25,C26)</f>
        <v>1003</v>
      </c>
      <c r="D31" s="494">
        <f>SUM(D24,D25,D26)</f>
        <v>0</v>
      </c>
      <c r="E31" s="494">
        <f>SUM(E24,E25,E26)</f>
        <v>32551</v>
      </c>
      <c r="F31" s="494">
        <f>SUM(F24,F25,F26)</f>
        <v>0</v>
      </c>
      <c r="G31" s="502">
        <f t="shared" si="1"/>
        <v>0</v>
      </c>
      <c r="H31" s="502">
        <f t="shared" si="0"/>
        <v>0</v>
      </c>
    </row>
    <row r="32" spans="1:8" s="533" customFormat="1" ht="13.5" customHeight="1">
      <c r="A32" s="531"/>
      <c r="B32" s="532" t="s">
        <v>756</v>
      </c>
      <c r="C32" s="956">
        <f>SUM(C23,C24:C26)</f>
        <v>234094</v>
      </c>
      <c r="D32" s="494">
        <f>SUM(D23,D24:D26)</f>
        <v>226955</v>
      </c>
      <c r="E32" s="494">
        <f>SUM(E23,E24:E26)</f>
        <v>277353</v>
      </c>
      <c r="F32" s="494">
        <f>SUM(F23,F24:F26)</f>
        <v>228735</v>
      </c>
      <c r="G32" s="502">
        <f t="shared" si="1"/>
        <v>1.0078429644643212</v>
      </c>
      <c r="H32" s="502">
        <f t="shared" si="0"/>
        <v>0.8247071421617939</v>
      </c>
    </row>
    <row r="33" spans="1:8" s="533" customFormat="1" ht="12" customHeight="1">
      <c r="A33" s="531"/>
      <c r="B33" s="974" t="s">
        <v>319</v>
      </c>
      <c r="C33" s="975"/>
      <c r="D33" s="461"/>
      <c r="E33" s="461"/>
      <c r="F33" s="461"/>
      <c r="G33" s="648"/>
      <c r="H33" s="648"/>
    </row>
    <row r="34" spans="1:8" s="533" customFormat="1" ht="12" customHeight="1">
      <c r="A34" s="199" t="s">
        <v>524</v>
      </c>
      <c r="B34" s="976" t="s">
        <v>400</v>
      </c>
      <c r="C34" s="977">
        <v>0</v>
      </c>
      <c r="D34" s="495">
        <v>0</v>
      </c>
      <c r="E34" s="495">
        <v>0</v>
      </c>
      <c r="F34" s="461">
        <v>0</v>
      </c>
      <c r="G34" s="517">
        <f t="shared" si="1"/>
        <v>0</v>
      </c>
      <c r="H34" s="517">
        <f t="shared" si="0"/>
        <v>0</v>
      </c>
    </row>
    <row r="35" spans="1:8" s="533" customFormat="1" ht="24" customHeight="1">
      <c r="A35" s="583" t="s">
        <v>525</v>
      </c>
      <c r="B35" s="978" t="s">
        <v>791</v>
      </c>
      <c r="C35" s="979">
        <v>10361</v>
      </c>
      <c r="D35" s="496">
        <v>9453</v>
      </c>
      <c r="E35" s="496">
        <v>9556</v>
      </c>
      <c r="F35" s="1202">
        <v>9492</v>
      </c>
      <c r="G35" s="517">
        <f t="shared" si="1"/>
        <v>1.0041256743890827</v>
      </c>
      <c r="H35" s="517">
        <f t="shared" si="0"/>
        <v>0.9933026370866471</v>
      </c>
    </row>
    <row r="36" spans="1:8" s="533" customFormat="1" ht="12" customHeight="1">
      <c r="A36" s="581"/>
      <c r="B36" s="980" t="s">
        <v>396</v>
      </c>
      <c r="C36" s="981">
        <v>0</v>
      </c>
      <c r="D36" s="497">
        <v>0</v>
      </c>
      <c r="E36" s="497">
        <v>0</v>
      </c>
      <c r="F36" s="1203">
        <v>0</v>
      </c>
      <c r="G36" s="970">
        <f>IF(D36=0,0,F36/D36)</f>
        <v>0</v>
      </c>
      <c r="H36" s="970">
        <f>IF(E36=0,0,F36/E36)</f>
        <v>0</v>
      </c>
    </row>
    <row r="37" spans="1:8" s="533" customFormat="1" ht="12" customHeight="1">
      <c r="A37" s="199" t="s">
        <v>526</v>
      </c>
      <c r="B37" s="36" t="s">
        <v>726</v>
      </c>
      <c r="C37" s="498">
        <v>0</v>
      </c>
      <c r="D37" s="495">
        <v>0</v>
      </c>
      <c r="E37" s="495">
        <v>0</v>
      </c>
      <c r="F37" s="461">
        <v>0</v>
      </c>
      <c r="G37" s="970">
        <f t="shared" si="1"/>
        <v>0</v>
      </c>
      <c r="H37" s="970">
        <f t="shared" si="0"/>
        <v>0</v>
      </c>
    </row>
    <row r="38" spans="1:8" s="533" customFormat="1" ht="12" customHeight="1">
      <c r="A38" s="199" t="s">
        <v>729</v>
      </c>
      <c r="B38" s="449" t="s">
        <v>607</v>
      </c>
      <c r="C38" s="498">
        <v>3</v>
      </c>
      <c r="D38" s="495">
        <v>3</v>
      </c>
      <c r="E38" s="495">
        <v>4</v>
      </c>
      <c r="F38" s="461">
        <v>3</v>
      </c>
      <c r="G38" s="648">
        <f t="shared" si="1"/>
        <v>1</v>
      </c>
      <c r="H38" s="648">
        <f t="shared" si="0"/>
        <v>0.75</v>
      </c>
    </row>
    <row r="39" spans="1:8" s="533" customFormat="1" ht="12" customHeight="1">
      <c r="A39" s="199" t="s">
        <v>730</v>
      </c>
      <c r="B39" s="449" t="s">
        <v>349</v>
      </c>
      <c r="C39" s="499">
        <v>1349</v>
      </c>
      <c r="D39" s="495">
        <v>1257</v>
      </c>
      <c r="E39" s="495">
        <v>1475</v>
      </c>
      <c r="F39" s="461">
        <v>2704</v>
      </c>
      <c r="G39" s="648">
        <f t="shared" si="1"/>
        <v>2.1511535401750197</v>
      </c>
      <c r="H39" s="648">
        <f t="shared" si="0"/>
        <v>1.8332203389830508</v>
      </c>
    </row>
    <row r="40" spans="1:8" s="533" customFormat="1" ht="25.5" customHeight="1">
      <c r="A40" s="583" t="s">
        <v>731</v>
      </c>
      <c r="B40" s="982" t="s">
        <v>192</v>
      </c>
      <c r="C40" s="983">
        <v>9840</v>
      </c>
      <c r="D40" s="496">
        <v>0</v>
      </c>
      <c r="E40" s="496">
        <v>13389</v>
      </c>
      <c r="F40" s="580">
        <v>0</v>
      </c>
      <c r="G40" s="517">
        <f t="shared" si="1"/>
        <v>0</v>
      </c>
      <c r="H40" s="517">
        <v>0</v>
      </c>
    </row>
    <row r="41" spans="1:8" s="533" customFormat="1" ht="12" customHeight="1">
      <c r="A41" s="581"/>
      <c r="B41" s="968" t="s">
        <v>447</v>
      </c>
      <c r="C41" s="981">
        <v>0</v>
      </c>
      <c r="D41" s="497">
        <v>0</v>
      </c>
      <c r="E41" s="497">
        <v>12957</v>
      </c>
      <c r="F41" s="990">
        <v>0</v>
      </c>
      <c r="G41" s="970">
        <f>IF(D41=0,0,F41/D41)</f>
        <v>0</v>
      </c>
      <c r="H41" s="970">
        <f>IF(E41=0,0,F41/E41)</f>
        <v>0</v>
      </c>
    </row>
    <row r="42" spans="1:8" s="533" customFormat="1" ht="24" customHeight="1">
      <c r="A42" s="199" t="s">
        <v>732</v>
      </c>
      <c r="B42" s="984" t="s">
        <v>625</v>
      </c>
      <c r="C42" s="985">
        <v>274</v>
      </c>
      <c r="D42" s="495">
        <v>251</v>
      </c>
      <c r="E42" s="495">
        <v>624</v>
      </c>
      <c r="F42" s="580">
        <v>258</v>
      </c>
      <c r="G42" s="648">
        <f t="shared" si="1"/>
        <v>1.0278884462151394</v>
      </c>
      <c r="H42" s="648">
        <f t="shared" si="0"/>
        <v>0.41346153846153844</v>
      </c>
    </row>
    <row r="43" spans="1:8" s="533" customFormat="1" ht="12" customHeight="1">
      <c r="A43" s="583" t="s">
        <v>733</v>
      </c>
      <c r="B43" s="982" t="s">
        <v>194</v>
      </c>
      <c r="C43" s="983">
        <v>0</v>
      </c>
      <c r="D43" s="496">
        <v>0</v>
      </c>
      <c r="E43" s="496">
        <v>0</v>
      </c>
      <c r="F43" s="580">
        <v>0</v>
      </c>
      <c r="G43" s="517">
        <f t="shared" si="1"/>
        <v>0</v>
      </c>
      <c r="H43" s="517">
        <f t="shared" si="0"/>
        <v>0</v>
      </c>
    </row>
    <row r="44" spans="1:8" s="533" customFormat="1" ht="12" customHeight="1">
      <c r="A44" s="581"/>
      <c r="B44" s="968" t="s">
        <v>447</v>
      </c>
      <c r="C44" s="981">
        <v>0</v>
      </c>
      <c r="D44" s="497">
        <v>0</v>
      </c>
      <c r="E44" s="497">
        <v>0</v>
      </c>
      <c r="F44" s="990">
        <v>0</v>
      </c>
      <c r="G44" s="970">
        <f>IF(D44=0,0,F44/D44)</f>
        <v>0</v>
      </c>
      <c r="H44" s="970">
        <f>IF(E44=0,0,F44/E44)</f>
        <v>0</v>
      </c>
    </row>
    <row r="45" spans="1:8" s="533" customFormat="1" ht="24" customHeight="1">
      <c r="A45" s="199" t="s">
        <v>734</v>
      </c>
      <c r="B45" s="984" t="s">
        <v>418</v>
      </c>
      <c r="C45" s="986">
        <v>0</v>
      </c>
      <c r="D45" s="495">
        <v>0</v>
      </c>
      <c r="E45" s="495">
        <v>0</v>
      </c>
      <c r="F45" s="990">
        <v>0</v>
      </c>
      <c r="G45" s="648">
        <f t="shared" si="1"/>
        <v>0</v>
      </c>
      <c r="H45" s="648">
        <f t="shared" si="0"/>
        <v>0</v>
      </c>
    </row>
    <row r="46" spans="1:8" s="533" customFormat="1" ht="12" customHeight="1">
      <c r="A46" s="199" t="s">
        <v>735</v>
      </c>
      <c r="B46" s="449" t="s">
        <v>311</v>
      </c>
      <c r="C46" s="498">
        <v>0</v>
      </c>
      <c r="D46" s="495">
        <v>0</v>
      </c>
      <c r="E46" s="495">
        <v>0</v>
      </c>
      <c r="F46" s="461">
        <v>0</v>
      </c>
      <c r="G46" s="648">
        <f t="shared" si="1"/>
        <v>0</v>
      </c>
      <c r="H46" s="648">
        <f t="shared" si="0"/>
        <v>0</v>
      </c>
    </row>
    <row r="47" spans="1:8" s="533" customFormat="1" ht="12" customHeight="1">
      <c r="A47" s="199" t="s">
        <v>736</v>
      </c>
      <c r="B47" s="449" t="s">
        <v>312</v>
      </c>
      <c r="C47" s="498">
        <v>9908</v>
      </c>
      <c r="D47" s="495">
        <v>0</v>
      </c>
      <c r="E47" s="495">
        <v>16531</v>
      </c>
      <c r="F47" s="461">
        <v>0</v>
      </c>
      <c r="G47" s="648">
        <f t="shared" si="1"/>
        <v>0</v>
      </c>
      <c r="H47" s="648">
        <f t="shared" si="0"/>
        <v>0</v>
      </c>
    </row>
    <row r="48" spans="1:8" s="533" customFormat="1" ht="12" customHeight="1">
      <c r="A48" s="531"/>
      <c r="B48" s="532" t="s">
        <v>768</v>
      </c>
      <c r="C48" s="494">
        <f>SUM(C34:C47)-C36-C41-C44</f>
        <v>31735</v>
      </c>
      <c r="D48" s="494">
        <f>SUM(D34:D47)-D36-D41-D44</f>
        <v>10964</v>
      </c>
      <c r="E48" s="494">
        <f>SUM(E34:E47)-E36-E41-E44</f>
        <v>41579</v>
      </c>
      <c r="F48" s="494">
        <f>SUM(F34:F47)-F36-F41-F44</f>
        <v>12457</v>
      </c>
      <c r="G48" s="502">
        <f t="shared" si="1"/>
        <v>1.1361729295877416</v>
      </c>
      <c r="H48" s="502">
        <f t="shared" si="0"/>
        <v>0.2995983549387912</v>
      </c>
    </row>
    <row r="49" spans="1:8" s="536" customFormat="1" ht="13.5">
      <c r="A49" s="537" t="s">
        <v>737</v>
      </c>
      <c r="B49" s="532" t="s">
        <v>351</v>
      </c>
      <c r="C49" s="397">
        <v>214101</v>
      </c>
      <c r="D49" s="494">
        <v>215991</v>
      </c>
      <c r="E49" s="494">
        <v>249984</v>
      </c>
      <c r="F49" s="494">
        <v>216278</v>
      </c>
      <c r="G49" s="502">
        <f t="shared" si="1"/>
        <v>1.0013287590686648</v>
      </c>
      <c r="H49" s="502">
        <f t="shared" si="0"/>
        <v>0.8651673707117256</v>
      </c>
    </row>
    <row r="50" spans="1:8" s="536" customFormat="1" ht="12" customHeight="1">
      <c r="A50" s="346"/>
      <c r="B50" s="987" t="s">
        <v>197</v>
      </c>
      <c r="C50" s="947">
        <v>0</v>
      </c>
      <c r="D50" s="451">
        <v>104982</v>
      </c>
      <c r="E50" s="451">
        <v>106839</v>
      </c>
      <c r="F50" s="992">
        <v>93330</v>
      </c>
      <c r="G50" s="648">
        <f t="shared" si="1"/>
        <v>0.8890095444933417</v>
      </c>
      <c r="H50" s="648">
        <f t="shared" si="0"/>
        <v>0.8735574088113891</v>
      </c>
    </row>
    <row r="51" spans="1:8" s="536" customFormat="1" ht="12" customHeight="1">
      <c r="A51" s="346"/>
      <c r="B51" s="565" t="s">
        <v>398</v>
      </c>
      <c r="C51" s="948">
        <v>0</v>
      </c>
      <c r="D51" s="451">
        <v>0</v>
      </c>
      <c r="E51" s="451">
        <v>1754</v>
      </c>
      <c r="F51" s="992">
        <v>0</v>
      </c>
      <c r="G51" s="648">
        <f t="shared" si="1"/>
        <v>0</v>
      </c>
      <c r="H51" s="648">
        <f t="shared" si="0"/>
        <v>0</v>
      </c>
    </row>
    <row r="52" spans="1:8" s="536" customFormat="1" ht="13.5" customHeight="1">
      <c r="A52" s="566"/>
      <c r="B52" s="567" t="s">
        <v>749</v>
      </c>
      <c r="C52" s="793">
        <f>SUM(C48,C49)</f>
        <v>245836</v>
      </c>
      <c r="D52" s="568">
        <f>SUM(D48:D49)</f>
        <v>226955</v>
      </c>
      <c r="E52" s="568">
        <f>SUM(E48:E49)</f>
        <v>291563</v>
      </c>
      <c r="F52" s="568">
        <f>SUM(F48:F49)</f>
        <v>228735</v>
      </c>
      <c r="G52" s="993">
        <f>IF(D52=0,0,F52/D52)</f>
        <v>1.0078429644643212</v>
      </c>
      <c r="H52" s="993">
        <f>IF(E52=0,0,F52/E52)</f>
        <v>0.7845131240932491</v>
      </c>
    </row>
    <row r="53" spans="6:8" ht="15.75">
      <c r="F53" s="546"/>
      <c r="G53" s="509"/>
      <c r="H53" s="509"/>
    </row>
  </sheetData>
  <sheetProtection password="CC08"/>
  <mergeCells count="4">
    <mergeCell ref="A1:H1"/>
    <mergeCell ref="A2:H2"/>
    <mergeCell ref="A3:H3"/>
    <mergeCell ref="A4:H4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CE,Normál"3/e. számú melléklet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ntry="1"/>
  <dimension ref="A1:H53"/>
  <sheetViews>
    <sheetView workbookViewId="0" topLeftCell="A37">
      <selection activeCell="F50" sqref="F50"/>
    </sheetView>
  </sheetViews>
  <sheetFormatPr defaultColWidth="9.140625" defaultRowHeight="12.75"/>
  <cols>
    <col min="1" max="1" width="4.28125" style="8" customWidth="1"/>
    <col min="2" max="2" width="38.57421875" style="10" customWidth="1"/>
    <col min="3" max="3" width="9.8515625" style="10" customWidth="1"/>
    <col min="4" max="5" width="10.28125" style="9" customWidth="1"/>
    <col min="6" max="6" width="10.28125" style="543" customWidth="1"/>
    <col min="7" max="7" width="8.8515625" style="3" customWidth="1"/>
    <col min="8" max="8" width="8.28125" style="3" customWidth="1"/>
    <col min="9" max="16384" width="8.8515625" style="3" customWidth="1"/>
  </cols>
  <sheetData>
    <row r="1" spans="1:8" ht="15.75">
      <c r="A1" s="1342" t="s">
        <v>426</v>
      </c>
      <c r="B1" s="1343"/>
      <c r="C1" s="1343"/>
      <c r="D1" s="1343"/>
      <c r="E1" s="1343"/>
      <c r="F1" s="1343"/>
      <c r="G1" s="1343"/>
      <c r="H1" s="1343"/>
    </row>
    <row r="2" spans="1:8" ht="15.75">
      <c r="A2" s="1348" t="s">
        <v>903</v>
      </c>
      <c r="B2" s="1345"/>
      <c r="C2" s="1345"/>
      <c r="D2" s="1345"/>
      <c r="E2" s="1345"/>
      <c r="F2" s="1345"/>
      <c r="G2" s="1345"/>
      <c r="H2" s="1345"/>
    </row>
    <row r="3" spans="1:8" ht="15.75">
      <c r="A3" s="1348" t="s">
        <v>759</v>
      </c>
      <c r="B3" s="1345"/>
      <c r="C3" s="1345"/>
      <c r="D3" s="1345"/>
      <c r="E3" s="1345"/>
      <c r="F3" s="1345"/>
      <c r="G3" s="1345"/>
      <c r="H3" s="1345"/>
    </row>
    <row r="4" spans="1:8" ht="15.75">
      <c r="A4" s="1366" t="s">
        <v>550</v>
      </c>
      <c r="B4" s="1345"/>
      <c r="C4" s="1345"/>
      <c r="D4" s="1345"/>
      <c r="E4" s="1345"/>
      <c r="F4" s="1345"/>
      <c r="G4" s="1345"/>
      <c r="H4" s="1345"/>
    </row>
    <row r="5" spans="2:8" ht="15.75" customHeight="1">
      <c r="B5" s="720"/>
      <c r="C5" s="720"/>
      <c r="D5" s="4"/>
      <c r="E5" s="4"/>
      <c r="F5" s="4"/>
      <c r="G5" s="721"/>
      <c r="H5" s="722" t="s">
        <v>128</v>
      </c>
    </row>
    <row r="6" spans="1:8" s="5" customFormat="1" ht="39.75" customHeight="1">
      <c r="A6" s="1226" t="s">
        <v>169</v>
      </c>
      <c r="B6" s="197" t="s">
        <v>129</v>
      </c>
      <c r="C6" s="725" t="s">
        <v>257</v>
      </c>
      <c r="D6" s="563" t="s">
        <v>911</v>
      </c>
      <c r="E6" s="563" t="s">
        <v>258</v>
      </c>
      <c r="F6" s="988" t="s">
        <v>249</v>
      </c>
      <c r="G6" s="723" t="s">
        <v>259</v>
      </c>
      <c r="H6" s="723" t="s">
        <v>259</v>
      </c>
    </row>
    <row r="7" spans="1:8" s="5" customFormat="1" ht="12" customHeight="1">
      <c r="A7" s="197" t="s">
        <v>524</v>
      </c>
      <c r="B7" s="445" t="s">
        <v>525</v>
      </c>
      <c r="C7" s="445" t="s">
        <v>526</v>
      </c>
      <c r="D7" s="445" t="s">
        <v>729</v>
      </c>
      <c r="E7" s="445" t="s">
        <v>730</v>
      </c>
      <c r="F7" s="989" t="s">
        <v>731</v>
      </c>
      <c r="G7" s="724" t="s">
        <v>250</v>
      </c>
      <c r="H7" s="724" t="s">
        <v>251</v>
      </c>
    </row>
    <row r="8" spans="1:8" s="6" customFormat="1" ht="12" customHeight="1">
      <c r="A8" s="198"/>
      <c r="B8" s="452" t="s">
        <v>739</v>
      </c>
      <c r="C8" s="952">
        <v>52</v>
      </c>
      <c r="D8" s="544">
        <v>52.5</v>
      </c>
      <c r="E8" s="544">
        <v>51.5</v>
      </c>
      <c r="F8" s="58">
        <v>51.5</v>
      </c>
      <c r="G8" s="453"/>
      <c r="H8" s="453"/>
    </row>
    <row r="9" spans="1:8" s="533" customFormat="1" ht="12" customHeight="1">
      <c r="A9" s="531"/>
      <c r="B9" s="532" t="s">
        <v>459</v>
      </c>
      <c r="C9" s="793"/>
      <c r="D9" s="494"/>
      <c r="E9" s="494"/>
      <c r="F9" s="494"/>
      <c r="G9" s="453"/>
      <c r="H9" s="453"/>
    </row>
    <row r="10" spans="1:8" s="7" customFormat="1" ht="12" customHeight="1">
      <c r="A10" s="199" t="s">
        <v>524</v>
      </c>
      <c r="B10" s="449" t="s">
        <v>460</v>
      </c>
      <c r="C10" s="958">
        <v>120431</v>
      </c>
      <c r="D10" s="495">
        <v>124062</v>
      </c>
      <c r="E10" s="495">
        <v>126317</v>
      </c>
      <c r="F10" s="461">
        <v>124221</v>
      </c>
      <c r="G10" s="648">
        <f>IF(D10=0,0,F10/D10)</f>
        <v>1.0012816172558883</v>
      </c>
      <c r="H10" s="648">
        <f aca="true" t="shared" si="0" ref="H10:H51">IF(E10=0,0,F10/E10)</f>
        <v>0.9834068256845871</v>
      </c>
    </row>
    <row r="11" spans="1:8" s="7" customFormat="1" ht="12" customHeight="1">
      <c r="A11" s="199" t="s">
        <v>525</v>
      </c>
      <c r="B11" s="450" t="s">
        <v>461</v>
      </c>
      <c r="C11" s="964">
        <f>SUM(C12:C15)</f>
        <v>39138</v>
      </c>
      <c r="D11" s="495">
        <f>SUM(D12:D15)</f>
        <v>39967</v>
      </c>
      <c r="E11" s="495">
        <f>SUM(E12:E15)</f>
        <v>40738</v>
      </c>
      <c r="F11" s="461">
        <f>SUM(F12:F15)</f>
        <v>40072</v>
      </c>
      <c r="G11" s="648">
        <f aca="true" t="shared" si="1" ref="G11:G51">IF(D11=0,0,F11/D11)</f>
        <v>1.0026271674131157</v>
      </c>
      <c r="H11" s="648">
        <f t="shared" si="0"/>
        <v>0.983651627473121</v>
      </c>
    </row>
    <row r="12" spans="1:8" s="7" customFormat="1" ht="12" customHeight="1">
      <c r="A12" s="199"/>
      <c r="B12" s="447" t="s">
        <v>316</v>
      </c>
      <c r="C12" s="959">
        <v>33639</v>
      </c>
      <c r="D12" s="495">
        <v>34986</v>
      </c>
      <c r="E12" s="495">
        <v>35781</v>
      </c>
      <c r="F12" s="461">
        <v>34981</v>
      </c>
      <c r="G12" s="648">
        <f t="shared" si="1"/>
        <v>0.9998570856914194</v>
      </c>
      <c r="H12" s="648">
        <f t="shared" si="0"/>
        <v>0.9776417651826388</v>
      </c>
    </row>
    <row r="13" spans="1:8" s="7" customFormat="1" ht="12" customHeight="1">
      <c r="A13" s="199"/>
      <c r="B13" s="447" t="s">
        <v>198</v>
      </c>
      <c r="C13" s="959">
        <v>3281</v>
      </c>
      <c r="D13" s="495">
        <v>3619</v>
      </c>
      <c r="E13" s="495">
        <v>3635</v>
      </c>
      <c r="F13" s="461">
        <v>3619</v>
      </c>
      <c r="G13" s="648">
        <f t="shared" si="1"/>
        <v>1</v>
      </c>
      <c r="H13" s="648">
        <f t="shared" si="0"/>
        <v>0.9955983493810179</v>
      </c>
    </row>
    <row r="14" spans="1:8" s="7" customFormat="1" ht="12" customHeight="1">
      <c r="A14" s="199"/>
      <c r="B14" s="447" t="s">
        <v>199</v>
      </c>
      <c r="C14" s="959">
        <v>2187</v>
      </c>
      <c r="D14" s="495">
        <v>1072</v>
      </c>
      <c r="E14" s="495">
        <v>1137</v>
      </c>
      <c r="F14" s="461">
        <v>1182</v>
      </c>
      <c r="G14" s="648">
        <f t="shared" si="1"/>
        <v>1.1026119402985075</v>
      </c>
      <c r="H14" s="648">
        <f t="shared" si="0"/>
        <v>1.0395778364116095</v>
      </c>
    </row>
    <row r="15" spans="1:8" s="7" customFormat="1" ht="12" customHeight="1">
      <c r="A15" s="199"/>
      <c r="B15" s="447" t="s">
        <v>315</v>
      </c>
      <c r="C15" s="959">
        <v>31</v>
      </c>
      <c r="D15" s="495">
        <v>290</v>
      </c>
      <c r="E15" s="495">
        <v>185</v>
      </c>
      <c r="F15" s="461">
        <v>290</v>
      </c>
      <c r="G15" s="648">
        <f t="shared" si="1"/>
        <v>1</v>
      </c>
      <c r="H15" s="648">
        <f t="shared" si="0"/>
        <v>1.5675675675675675</v>
      </c>
    </row>
    <row r="16" spans="1:8" s="7" customFormat="1" ht="12" customHeight="1">
      <c r="A16" s="199" t="s">
        <v>526</v>
      </c>
      <c r="B16" s="449" t="s">
        <v>462</v>
      </c>
      <c r="C16" s="958">
        <v>40299</v>
      </c>
      <c r="D16" s="495">
        <v>31497</v>
      </c>
      <c r="E16" s="495">
        <v>33371</v>
      </c>
      <c r="F16" s="461">
        <v>34221</v>
      </c>
      <c r="G16" s="648">
        <f t="shared" si="1"/>
        <v>1.086484427088294</v>
      </c>
      <c r="H16" s="648">
        <f t="shared" si="0"/>
        <v>1.0254712175241976</v>
      </c>
    </row>
    <row r="17" spans="1:8" s="6" customFormat="1" ht="24" customHeight="1">
      <c r="A17" s="198" t="s">
        <v>729</v>
      </c>
      <c r="B17" s="460" t="s">
        <v>195</v>
      </c>
      <c r="C17" s="954">
        <f>SUM(C18,C20)</f>
        <v>0</v>
      </c>
      <c r="D17" s="461">
        <f>SUM(D18,D20)</f>
        <v>0</v>
      </c>
      <c r="E17" s="461">
        <f>SUM(E18,E20)</f>
        <v>3540</v>
      </c>
      <c r="F17" s="461">
        <f>SUM(F18,F20)</f>
        <v>0</v>
      </c>
      <c r="G17" s="547">
        <f t="shared" si="1"/>
        <v>0</v>
      </c>
      <c r="H17" s="547">
        <f t="shared" si="0"/>
        <v>0</v>
      </c>
    </row>
    <row r="18" spans="1:8" s="7" customFormat="1" ht="12" customHeight="1">
      <c r="A18" s="583"/>
      <c r="B18" s="965" t="s">
        <v>405</v>
      </c>
      <c r="C18" s="966">
        <v>0</v>
      </c>
      <c r="D18" s="496">
        <v>0</v>
      </c>
      <c r="E18" s="496">
        <v>3540</v>
      </c>
      <c r="F18" s="580">
        <v>0</v>
      </c>
      <c r="G18" s="517">
        <f t="shared" si="1"/>
        <v>0</v>
      </c>
      <c r="H18" s="517">
        <f t="shared" si="0"/>
        <v>0</v>
      </c>
    </row>
    <row r="19" spans="1:8" s="7" customFormat="1" ht="12" customHeight="1">
      <c r="A19" s="581"/>
      <c r="B19" s="968" t="s">
        <v>447</v>
      </c>
      <c r="C19" s="969">
        <v>0</v>
      </c>
      <c r="D19" s="497"/>
      <c r="E19" s="497">
        <v>3540</v>
      </c>
      <c r="F19" s="990">
        <v>0</v>
      </c>
      <c r="G19" s="970">
        <f>IF(D19=0,0,F19/D19)</f>
        <v>0</v>
      </c>
      <c r="H19" s="970">
        <f>IF(E19=0,0,F19/E19)</f>
        <v>0</v>
      </c>
    </row>
    <row r="20" spans="1:8" s="7" customFormat="1" ht="24" customHeight="1">
      <c r="A20" s="199"/>
      <c r="B20" s="972" t="s">
        <v>406</v>
      </c>
      <c r="C20" s="973">
        <v>0</v>
      </c>
      <c r="D20" s="495">
        <v>0</v>
      </c>
      <c r="E20" s="495">
        <v>0</v>
      </c>
      <c r="F20" s="461">
        <v>0</v>
      </c>
      <c r="G20" s="648">
        <f t="shared" si="1"/>
        <v>0</v>
      </c>
      <c r="H20" s="648">
        <f t="shared" si="0"/>
        <v>0</v>
      </c>
    </row>
    <row r="21" spans="1:8" s="7" customFormat="1" ht="12" customHeight="1">
      <c r="A21" s="199" t="s">
        <v>730</v>
      </c>
      <c r="B21" s="449" t="s">
        <v>185</v>
      </c>
      <c r="C21" s="958">
        <v>0</v>
      </c>
      <c r="D21" s="495">
        <v>0</v>
      </c>
      <c r="E21" s="495">
        <v>0</v>
      </c>
      <c r="F21" s="461">
        <v>0</v>
      </c>
      <c r="G21" s="648">
        <f t="shared" si="1"/>
        <v>0</v>
      </c>
      <c r="H21" s="648">
        <f t="shared" si="0"/>
        <v>0</v>
      </c>
    </row>
    <row r="22" spans="1:8" s="7" customFormat="1" ht="12" customHeight="1">
      <c r="A22" s="199" t="s">
        <v>731</v>
      </c>
      <c r="B22" s="449" t="s">
        <v>83</v>
      </c>
      <c r="C22" s="958">
        <v>0</v>
      </c>
      <c r="D22" s="495">
        <v>0</v>
      </c>
      <c r="E22" s="495">
        <v>0</v>
      </c>
      <c r="F22" s="461">
        <v>0</v>
      </c>
      <c r="G22" s="648">
        <f>IF(D22=0,0,F22/D22)</f>
        <v>0</v>
      </c>
      <c r="H22" s="648">
        <f>IF(E22=0,0,F22/E22)</f>
        <v>0</v>
      </c>
    </row>
    <row r="23" spans="1:8" s="536" customFormat="1" ht="13.5">
      <c r="A23" s="531" t="s">
        <v>805</v>
      </c>
      <c r="B23" s="532" t="s">
        <v>317</v>
      </c>
      <c r="C23" s="568">
        <f>SUM(C10,C11,C16,C17,C21,C22)</f>
        <v>199868</v>
      </c>
      <c r="D23" s="568">
        <f>SUM(D10,D11,D16,D17,D21,D22)</f>
        <v>195526</v>
      </c>
      <c r="E23" s="568">
        <f>SUM(E10,E11,E16,E17,E21,E22)</f>
        <v>203966</v>
      </c>
      <c r="F23" s="568">
        <f>SUM(F10,F11,F16,F17,F21,F22)</f>
        <v>198514</v>
      </c>
      <c r="G23" s="502">
        <f t="shared" si="1"/>
        <v>1.0152818550985547</v>
      </c>
      <c r="H23" s="502">
        <f t="shared" si="0"/>
        <v>0.9732700548130571</v>
      </c>
    </row>
    <row r="24" spans="1:8" s="7" customFormat="1" ht="12" customHeight="1">
      <c r="A24" s="199" t="s">
        <v>732</v>
      </c>
      <c r="B24" s="449" t="s">
        <v>200</v>
      </c>
      <c r="C24" s="958">
        <v>0</v>
      </c>
      <c r="D24" s="495">
        <v>0</v>
      </c>
      <c r="E24" s="495">
        <v>16800</v>
      </c>
      <c r="F24" s="461">
        <v>0</v>
      </c>
      <c r="G24" s="648">
        <f t="shared" si="1"/>
        <v>0</v>
      </c>
      <c r="H24" s="648">
        <f t="shared" si="0"/>
        <v>0</v>
      </c>
    </row>
    <row r="25" spans="1:8" s="7" customFormat="1" ht="12" customHeight="1">
      <c r="A25" s="199" t="s">
        <v>733</v>
      </c>
      <c r="B25" s="449" t="s">
        <v>203</v>
      </c>
      <c r="C25" s="958">
        <v>727</v>
      </c>
      <c r="D25" s="495">
        <v>0</v>
      </c>
      <c r="E25" s="495">
        <v>1002</v>
      </c>
      <c r="F25" s="461">
        <v>0</v>
      </c>
      <c r="G25" s="648">
        <f t="shared" si="1"/>
        <v>0</v>
      </c>
      <c r="H25" s="648">
        <f t="shared" si="0"/>
        <v>0</v>
      </c>
    </row>
    <row r="26" spans="1:8" s="6" customFormat="1" ht="25.5" customHeight="1">
      <c r="A26" s="198" t="s">
        <v>734</v>
      </c>
      <c r="B26" s="460" t="s">
        <v>196</v>
      </c>
      <c r="C26" s="955">
        <f>SUM(C28,C30)</f>
        <v>0</v>
      </c>
      <c r="D26" s="461">
        <f>SUM(D28,D30)</f>
        <v>0</v>
      </c>
      <c r="E26" s="461">
        <f>SUM(E28,E30)</f>
        <v>1</v>
      </c>
      <c r="F26" s="461">
        <f>SUM(F28,F30)</f>
        <v>0</v>
      </c>
      <c r="G26" s="648">
        <f t="shared" si="1"/>
        <v>0</v>
      </c>
      <c r="H26" s="648">
        <f t="shared" si="0"/>
        <v>0</v>
      </c>
    </row>
    <row r="27" spans="1:8" s="7" customFormat="1" ht="12" customHeight="1" hidden="1">
      <c r="A27" s="199"/>
      <c r="B27" s="446"/>
      <c r="C27" s="963"/>
      <c r="D27" s="461"/>
      <c r="E27" s="461"/>
      <c r="F27" s="461"/>
      <c r="G27" s="648">
        <f t="shared" si="1"/>
        <v>0</v>
      </c>
      <c r="H27" s="648">
        <f t="shared" si="0"/>
        <v>0</v>
      </c>
    </row>
    <row r="28" spans="1:8" s="7" customFormat="1" ht="12" customHeight="1">
      <c r="A28" s="583"/>
      <c r="B28" s="965" t="s">
        <v>407</v>
      </c>
      <c r="C28" s="966">
        <v>0</v>
      </c>
      <c r="D28" s="496">
        <v>0</v>
      </c>
      <c r="E28" s="496">
        <v>1</v>
      </c>
      <c r="F28" s="580">
        <v>0</v>
      </c>
      <c r="G28" s="517">
        <f t="shared" si="1"/>
        <v>0</v>
      </c>
      <c r="H28" s="517">
        <f t="shared" si="0"/>
        <v>0</v>
      </c>
    </row>
    <row r="29" spans="1:8" s="7" customFormat="1" ht="12" customHeight="1">
      <c r="A29" s="581"/>
      <c r="B29" s="968" t="s">
        <v>447</v>
      </c>
      <c r="C29" s="969">
        <v>0</v>
      </c>
      <c r="D29" s="497">
        <v>0</v>
      </c>
      <c r="E29" s="497">
        <v>1</v>
      </c>
      <c r="F29" s="990">
        <v>0</v>
      </c>
      <c r="G29" s="970">
        <f>IF(D29=0,0,F29/D29)</f>
        <v>0</v>
      </c>
      <c r="H29" s="970">
        <f>IF(E29=0,0,F29/E29)</f>
        <v>0</v>
      </c>
    </row>
    <row r="30" spans="1:8" s="7" customFormat="1" ht="24" customHeight="1">
      <c r="A30" s="199"/>
      <c r="B30" s="972" t="s">
        <v>408</v>
      </c>
      <c r="C30" s="973">
        <v>0</v>
      </c>
      <c r="D30" s="495">
        <v>0</v>
      </c>
      <c r="E30" s="495">
        <v>0</v>
      </c>
      <c r="F30" s="461">
        <v>0</v>
      </c>
      <c r="G30" s="648">
        <f t="shared" si="1"/>
        <v>0</v>
      </c>
      <c r="H30" s="648">
        <f t="shared" si="0"/>
        <v>0</v>
      </c>
    </row>
    <row r="31" spans="1:8" s="533" customFormat="1" ht="12" customHeight="1">
      <c r="A31" s="531" t="s">
        <v>327</v>
      </c>
      <c r="B31" s="532" t="s">
        <v>318</v>
      </c>
      <c r="C31" s="956">
        <f>SUM(C24,C25,C26)</f>
        <v>727</v>
      </c>
      <c r="D31" s="494">
        <f>SUM(D24,D25,D26)</f>
        <v>0</v>
      </c>
      <c r="E31" s="494">
        <f>SUM(E24,E25,E26)</f>
        <v>17803</v>
      </c>
      <c r="F31" s="494">
        <f>SUM(F24,F25,F26)</f>
        <v>0</v>
      </c>
      <c r="G31" s="502">
        <f t="shared" si="1"/>
        <v>0</v>
      </c>
      <c r="H31" s="502">
        <f t="shared" si="0"/>
        <v>0</v>
      </c>
    </row>
    <row r="32" spans="1:8" s="533" customFormat="1" ht="13.5" customHeight="1">
      <c r="A32" s="531"/>
      <c r="B32" s="532" t="s">
        <v>756</v>
      </c>
      <c r="C32" s="956">
        <f>SUM(C23,C24:C26)</f>
        <v>200595</v>
      </c>
      <c r="D32" s="494">
        <f>SUM(D23,D24:D26)</f>
        <v>195526</v>
      </c>
      <c r="E32" s="494">
        <f>SUM(E23,E24:E26)</f>
        <v>221769</v>
      </c>
      <c r="F32" s="494">
        <f>SUM(F23,F24:F26)</f>
        <v>198514</v>
      </c>
      <c r="G32" s="502">
        <f t="shared" si="1"/>
        <v>1.0152818550985547</v>
      </c>
      <c r="H32" s="502">
        <f t="shared" si="0"/>
        <v>0.8951386352465854</v>
      </c>
    </row>
    <row r="33" spans="1:8" s="533" customFormat="1" ht="12" customHeight="1">
      <c r="A33" s="531"/>
      <c r="B33" s="974" t="s">
        <v>319</v>
      </c>
      <c r="C33" s="975"/>
      <c r="D33" s="461"/>
      <c r="E33" s="461"/>
      <c r="F33" s="461"/>
      <c r="G33" s="648"/>
      <c r="H33" s="648"/>
    </row>
    <row r="34" spans="1:8" s="533" customFormat="1" ht="12" customHeight="1">
      <c r="A34" s="199" t="s">
        <v>524</v>
      </c>
      <c r="B34" s="976" t="s">
        <v>400</v>
      </c>
      <c r="C34" s="977">
        <v>0</v>
      </c>
      <c r="D34" s="461">
        <v>0</v>
      </c>
      <c r="E34" s="461">
        <v>0</v>
      </c>
      <c r="F34" s="461">
        <v>0</v>
      </c>
      <c r="G34" s="517">
        <f t="shared" si="1"/>
        <v>0</v>
      </c>
      <c r="H34" s="517">
        <f t="shared" si="0"/>
        <v>0</v>
      </c>
    </row>
    <row r="35" spans="1:8" s="533" customFormat="1" ht="24" customHeight="1">
      <c r="A35" s="583" t="s">
        <v>525</v>
      </c>
      <c r="B35" s="978" t="s">
        <v>791</v>
      </c>
      <c r="C35" s="979">
        <v>7030</v>
      </c>
      <c r="D35" s="496">
        <v>6109</v>
      </c>
      <c r="E35" s="496">
        <v>5729</v>
      </c>
      <c r="F35" s="1202">
        <v>6678</v>
      </c>
      <c r="G35" s="517">
        <f t="shared" si="1"/>
        <v>1.0931412669831397</v>
      </c>
      <c r="H35" s="517">
        <f t="shared" si="0"/>
        <v>1.1656484552277884</v>
      </c>
    </row>
    <row r="36" spans="1:8" s="533" customFormat="1" ht="12" customHeight="1">
      <c r="A36" s="581"/>
      <c r="B36" s="980" t="s">
        <v>396</v>
      </c>
      <c r="C36" s="981">
        <v>0</v>
      </c>
      <c r="D36" s="497">
        <v>0</v>
      </c>
      <c r="E36" s="497">
        <v>0</v>
      </c>
      <c r="F36" s="1203">
        <v>0</v>
      </c>
      <c r="G36" s="970">
        <f>IF(D36=0,0,F36/D36)</f>
        <v>0</v>
      </c>
      <c r="H36" s="970">
        <f>IF(E36=0,0,F36/E36)</f>
        <v>0</v>
      </c>
    </row>
    <row r="37" spans="1:8" s="533" customFormat="1" ht="12" customHeight="1">
      <c r="A37" s="199" t="s">
        <v>526</v>
      </c>
      <c r="B37" s="36" t="s">
        <v>726</v>
      </c>
      <c r="C37" s="498">
        <v>0</v>
      </c>
      <c r="D37" s="495">
        <v>0</v>
      </c>
      <c r="E37" s="495">
        <v>0</v>
      </c>
      <c r="F37" s="461">
        <v>0</v>
      </c>
      <c r="G37" s="970">
        <f t="shared" si="1"/>
        <v>0</v>
      </c>
      <c r="H37" s="970">
        <f t="shared" si="0"/>
        <v>0</v>
      </c>
    </row>
    <row r="38" spans="1:8" s="533" customFormat="1" ht="12" customHeight="1">
      <c r="A38" s="199" t="s">
        <v>729</v>
      </c>
      <c r="B38" s="449" t="s">
        <v>607</v>
      </c>
      <c r="C38" s="498">
        <v>0</v>
      </c>
      <c r="D38" s="495">
        <v>0</v>
      </c>
      <c r="E38" s="495">
        <v>0</v>
      </c>
      <c r="F38" s="461">
        <v>0</v>
      </c>
      <c r="G38" s="648">
        <f t="shared" si="1"/>
        <v>0</v>
      </c>
      <c r="H38" s="648">
        <f t="shared" si="0"/>
        <v>0</v>
      </c>
    </row>
    <row r="39" spans="1:8" s="533" customFormat="1" ht="12" customHeight="1">
      <c r="A39" s="199" t="s">
        <v>730</v>
      </c>
      <c r="B39" s="449" t="s">
        <v>349</v>
      </c>
      <c r="C39" s="499">
        <v>951</v>
      </c>
      <c r="D39" s="495">
        <v>812</v>
      </c>
      <c r="E39" s="495">
        <v>887</v>
      </c>
      <c r="F39" s="461">
        <v>1188</v>
      </c>
      <c r="G39" s="648">
        <f t="shared" si="1"/>
        <v>1.4630541871921183</v>
      </c>
      <c r="H39" s="648">
        <f t="shared" si="0"/>
        <v>1.3393461104847801</v>
      </c>
    </row>
    <row r="40" spans="1:8" s="533" customFormat="1" ht="25.5" customHeight="1">
      <c r="A40" s="583" t="s">
        <v>731</v>
      </c>
      <c r="B40" s="982" t="s">
        <v>192</v>
      </c>
      <c r="C40" s="983">
        <v>5752</v>
      </c>
      <c r="D40" s="496">
        <v>0</v>
      </c>
      <c r="E40" s="496">
        <v>6831</v>
      </c>
      <c r="F40" s="580">
        <v>0</v>
      </c>
      <c r="G40" s="517">
        <f t="shared" si="1"/>
        <v>0</v>
      </c>
      <c r="H40" s="517">
        <f t="shared" si="0"/>
        <v>0</v>
      </c>
    </row>
    <row r="41" spans="1:8" s="533" customFormat="1" ht="12" customHeight="1">
      <c r="A41" s="581"/>
      <c r="B41" s="968" t="s">
        <v>447</v>
      </c>
      <c r="C41" s="981">
        <v>0</v>
      </c>
      <c r="D41" s="497">
        <v>0</v>
      </c>
      <c r="E41" s="497">
        <v>6831</v>
      </c>
      <c r="F41" s="990">
        <v>0</v>
      </c>
      <c r="G41" s="970">
        <f>IF(D41=0,0,F41/D41)</f>
        <v>0</v>
      </c>
      <c r="H41" s="970">
        <f>IF(E41=0,0,F41/E41)</f>
        <v>0</v>
      </c>
    </row>
    <row r="42" spans="1:8" s="533" customFormat="1" ht="24" customHeight="1">
      <c r="A42" s="199" t="s">
        <v>732</v>
      </c>
      <c r="B42" s="984" t="s">
        <v>625</v>
      </c>
      <c r="C42" s="985">
        <v>0</v>
      </c>
      <c r="D42" s="495">
        <v>0</v>
      </c>
      <c r="E42" s="495">
        <v>0</v>
      </c>
      <c r="F42" s="580">
        <v>0</v>
      </c>
      <c r="G42" s="648">
        <f t="shared" si="1"/>
        <v>0</v>
      </c>
      <c r="H42" s="648">
        <f t="shared" si="0"/>
        <v>0</v>
      </c>
    </row>
    <row r="43" spans="1:8" s="533" customFormat="1" ht="12" customHeight="1">
      <c r="A43" s="583" t="s">
        <v>733</v>
      </c>
      <c r="B43" s="982" t="s">
        <v>194</v>
      </c>
      <c r="C43" s="983">
        <v>0</v>
      </c>
      <c r="D43" s="496">
        <v>0</v>
      </c>
      <c r="E43" s="496">
        <v>443</v>
      </c>
      <c r="F43" s="580">
        <v>0</v>
      </c>
      <c r="G43" s="517">
        <f t="shared" si="1"/>
        <v>0</v>
      </c>
      <c r="H43" s="517">
        <f t="shared" si="0"/>
        <v>0</v>
      </c>
    </row>
    <row r="44" spans="1:8" s="533" customFormat="1" ht="12" customHeight="1">
      <c r="A44" s="581"/>
      <c r="B44" s="968" t="s">
        <v>447</v>
      </c>
      <c r="C44" s="981">
        <v>0</v>
      </c>
      <c r="D44" s="497">
        <v>0</v>
      </c>
      <c r="E44" s="497">
        <v>443</v>
      </c>
      <c r="F44" s="990">
        <v>0</v>
      </c>
      <c r="G44" s="970">
        <f>IF(D44=0,0,F44/D44)</f>
        <v>0</v>
      </c>
      <c r="H44" s="970">
        <f>IF(E44=0,0,F44/E44)</f>
        <v>0</v>
      </c>
    </row>
    <row r="45" spans="1:8" s="533" customFormat="1" ht="24" customHeight="1">
      <c r="A45" s="199" t="s">
        <v>734</v>
      </c>
      <c r="B45" s="984" t="s">
        <v>418</v>
      </c>
      <c r="C45" s="986">
        <v>0</v>
      </c>
      <c r="D45" s="495">
        <v>0</v>
      </c>
      <c r="E45" s="495">
        <v>0</v>
      </c>
      <c r="F45" s="990">
        <v>0</v>
      </c>
      <c r="G45" s="648">
        <f t="shared" si="1"/>
        <v>0</v>
      </c>
      <c r="H45" s="648">
        <f t="shared" si="0"/>
        <v>0</v>
      </c>
    </row>
    <row r="46" spans="1:8" s="533" customFormat="1" ht="12" customHeight="1">
      <c r="A46" s="199" t="s">
        <v>735</v>
      </c>
      <c r="B46" s="449" t="s">
        <v>311</v>
      </c>
      <c r="C46" s="498">
        <v>0</v>
      </c>
      <c r="D46" s="495">
        <v>0</v>
      </c>
      <c r="E46" s="495">
        <v>0</v>
      </c>
      <c r="F46" s="461">
        <v>0</v>
      </c>
      <c r="G46" s="648">
        <f t="shared" si="1"/>
        <v>0</v>
      </c>
      <c r="H46" s="648">
        <f t="shared" si="0"/>
        <v>0</v>
      </c>
    </row>
    <row r="47" spans="1:8" s="533" customFormat="1" ht="12" customHeight="1">
      <c r="A47" s="199" t="s">
        <v>736</v>
      </c>
      <c r="B47" s="449" t="s">
        <v>312</v>
      </c>
      <c r="C47" s="498">
        <v>6026</v>
      </c>
      <c r="D47" s="495">
        <v>0</v>
      </c>
      <c r="E47" s="495">
        <v>9299</v>
      </c>
      <c r="F47" s="461">
        <v>0</v>
      </c>
      <c r="G47" s="648">
        <f t="shared" si="1"/>
        <v>0</v>
      </c>
      <c r="H47" s="648">
        <f t="shared" si="0"/>
        <v>0</v>
      </c>
    </row>
    <row r="48" spans="1:8" s="533" customFormat="1" ht="12" customHeight="1">
      <c r="A48" s="531"/>
      <c r="B48" s="532" t="s">
        <v>768</v>
      </c>
      <c r="C48" s="494">
        <f>SUM(C34:C47)-C36-C41-C44</f>
        <v>19759</v>
      </c>
      <c r="D48" s="494">
        <f>SUM(D34:D47)-D36-D41-D44</f>
        <v>6921</v>
      </c>
      <c r="E48" s="494">
        <f>SUM(E34:E47)-E36-E41-E44</f>
        <v>23189</v>
      </c>
      <c r="F48" s="494">
        <f>SUM(F34:F47)-F36-F41-F44</f>
        <v>7866</v>
      </c>
      <c r="G48" s="502">
        <f t="shared" si="1"/>
        <v>1.1365409622886866</v>
      </c>
      <c r="H48" s="502">
        <f t="shared" si="0"/>
        <v>0.3392125576782095</v>
      </c>
    </row>
    <row r="49" spans="1:8" s="536" customFormat="1" ht="13.5">
      <c r="A49" s="537" t="s">
        <v>737</v>
      </c>
      <c r="B49" s="532" t="s">
        <v>351</v>
      </c>
      <c r="C49" s="397">
        <v>188513</v>
      </c>
      <c r="D49" s="494">
        <v>188605</v>
      </c>
      <c r="E49" s="494">
        <v>208690</v>
      </c>
      <c r="F49" s="494">
        <v>190648</v>
      </c>
      <c r="G49" s="502">
        <f t="shared" si="1"/>
        <v>1.0108321624559264</v>
      </c>
      <c r="H49" s="502">
        <f t="shared" si="0"/>
        <v>0.9135464085485648</v>
      </c>
    </row>
    <row r="50" spans="1:8" s="536" customFormat="1" ht="12" customHeight="1">
      <c r="A50" s="346"/>
      <c r="B50" s="987" t="s">
        <v>197</v>
      </c>
      <c r="C50" s="947">
        <v>0</v>
      </c>
      <c r="D50" s="451">
        <v>75278</v>
      </c>
      <c r="E50" s="451">
        <v>75852</v>
      </c>
      <c r="F50" s="992">
        <v>67916</v>
      </c>
      <c r="G50" s="648">
        <f t="shared" si="1"/>
        <v>0.9022025027232392</v>
      </c>
      <c r="H50" s="648">
        <f t="shared" si="0"/>
        <v>0.895375204345304</v>
      </c>
    </row>
    <row r="51" spans="1:8" s="536" customFormat="1" ht="12" customHeight="1">
      <c r="A51" s="346"/>
      <c r="B51" s="565" t="s">
        <v>398</v>
      </c>
      <c r="C51" s="948">
        <v>0</v>
      </c>
      <c r="D51" s="451">
        <v>0</v>
      </c>
      <c r="E51" s="451">
        <v>0</v>
      </c>
      <c r="F51" s="992">
        <v>0</v>
      </c>
      <c r="G51" s="648">
        <f t="shared" si="1"/>
        <v>0</v>
      </c>
      <c r="H51" s="648">
        <f t="shared" si="0"/>
        <v>0</v>
      </c>
    </row>
    <row r="52" spans="1:8" s="536" customFormat="1" ht="13.5" customHeight="1">
      <c r="A52" s="566"/>
      <c r="B52" s="567" t="s">
        <v>749</v>
      </c>
      <c r="C52" s="793">
        <f>SUM(C48,C49)</f>
        <v>208272</v>
      </c>
      <c r="D52" s="568">
        <f>SUM(D48:D49)</f>
        <v>195526</v>
      </c>
      <c r="E52" s="568">
        <f>SUM(E48:E49)</f>
        <v>231879</v>
      </c>
      <c r="F52" s="568">
        <f>SUM(F48:F49)</f>
        <v>198514</v>
      </c>
      <c r="G52" s="993">
        <f>IF(D52=0,0,F52/D52)</f>
        <v>1.0152818550985547</v>
      </c>
      <c r="H52" s="993">
        <f>IF(E52=0,0,F52/E52)</f>
        <v>0.8561102989058949</v>
      </c>
    </row>
    <row r="53" spans="6:8" ht="15.75">
      <c r="F53" s="546"/>
      <c r="G53" s="509"/>
      <c r="H53" s="509"/>
    </row>
  </sheetData>
  <sheetProtection password="CC08"/>
  <mergeCells count="4">
    <mergeCell ref="A1:H1"/>
    <mergeCell ref="A2:H2"/>
    <mergeCell ref="A3:H3"/>
    <mergeCell ref="A4:H4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CE,Normál"3/f. számú melléklet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ntry="1"/>
  <dimension ref="A1:I53"/>
  <sheetViews>
    <sheetView workbookViewId="0" topLeftCell="A37">
      <selection activeCell="F51" sqref="F51"/>
    </sheetView>
  </sheetViews>
  <sheetFormatPr defaultColWidth="9.140625" defaultRowHeight="12.75"/>
  <cols>
    <col min="1" max="1" width="4.140625" style="8" customWidth="1"/>
    <col min="2" max="2" width="38.57421875" style="10" customWidth="1"/>
    <col min="3" max="3" width="9.8515625" style="10" customWidth="1"/>
    <col min="4" max="4" width="10.28125" style="9" customWidth="1"/>
    <col min="5" max="5" width="10.140625" style="9" customWidth="1"/>
    <col min="6" max="6" width="10.28125" style="543" customWidth="1"/>
    <col min="7" max="7" width="9.00390625" style="3" customWidth="1"/>
    <col min="8" max="8" width="8.7109375" style="3" customWidth="1"/>
    <col min="9" max="16384" width="8.8515625" style="3" customWidth="1"/>
  </cols>
  <sheetData>
    <row r="1" spans="1:8" ht="15.75">
      <c r="A1" s="1342" t="s">
        <v>426</v>
      </c>
      <c r="B1" s="1343"/>
      <c r="C1" s="1343"/>
      <c r="D1" s="1343"/>
      <c r="E1" s="1343"/>
      <c r="F1" s="1343"/>
      <c r="G1" s="1343"/>
      <c r="H1" s="1343"/>
    </row>
    <row r="2" spans="1:8" ht="15.75">
      <c r="A2" s="1348" t="s">
        <v>903</v>
      </c>
      <c r="B2" s="1345"/>
      <c r="C2" s="1345"/>
      <c r="D2" s="1345"/>
      <c r="E2" s="1345"/>
      <c r="F2" s="1345"/>
      <c r="G2" s="1345"/>
      <c r="H2" s="1345"/>
    </row>
    <row r="3" spans="1:8" ht="15.75">
      <c r="A3" s="1348" t="s">
        <v>759</v>
      </c>
      <c r="B3" s="1345"/>
      <c r="C3" s="1345"/>
      <c r="D3" s="1345"/>
      <c r="E3" s="1345"/>
      <c r="F3" s="1345"/>
      <c r="G3" s="1345"/>
      <c r="H3" s="1345"/>
    </row>
    <row r="4" spans="1:8" ht="15.75">
      <c r="A4" s="1366" t="s">
        <v>551</v>
      </c>
      <c r="B4" s="1345"/>
      <c r="C4" s="1345"/>
      <c r="D4" s="1345"/>
      <c r="E4" s="1345"/>
      <c r="F4" s="1345"/>
      <c r="G4" s="1345"/>
      <c r="H4" s="1345"/>
    </row>
    <row r="5" spans="2:8" ht="15.75" customHeight="1">
      <c r="B5" s="720"/>
      <c r="C5" s="720"/>
      <c r="D5" s="4"/>
      <c r="E5" s="4"/>
      <c r="F5" s="4"/>
      <c r="G5" s="721"/>
      <c r="H5" s="722" t="s">
        <v>128</v>
      </c>
    </row>
    <row r="6" spans="1:8" s="5" customFormat="1" ht="39.75" customHeight="1">
      <c r="A6" s="1226" t="s">
        <v>169</v>
      </c>
      <c r="B6" s="197" t="s">
        <v>129</v>
      </c>
      <c r="C6" s="725" t="s">
        <v>257</v>
      </c>
      <c r="D6" s="563" t="s">
        <v>911</v>
      </c>
      <c r="E6" s="563" t="s">
        <v>258</v>
      </c>
      <c r="F6" s="988" t="s">
        <v>249</v>
      </c>
      <c r="G6" s="723" t="s">
        <v>259</v>
      </c>
      <c r="H6" s="723" t="s">
        <v>259</v>
      </c>
    </row>
    <row r="7" spans="1:8" s="5" customFormat="1" ht="12" customHeight="1">
      <c r="A7" s="197" t="s">
        <v>524</v>
      </c>
      <c r="B7" s="445" t="s">
        <v>525</v>
      </c>
      <c r="C7" s="445" t="s">
        <v>526</v>
      </c>
      <c r="D7" s="445" t="s">
        <v>729</v>
      </c>
      <c r="E7" s="445" t="s">
        <v>730</v>
      </c>
      <c r="F7" s="989" t="s">
        <v>731</v>
      </c>
      <c r="G7" s="724" t="s">
        <v>250</v>
      </c>
      <c r="H7" s="724" t="s">
        <v>251</v>
      </c>
    </row>
    <row r="8" spans="1:8" s="6" customFormat="1" ht="12" customHeight="1">
      <c r="A8" s="198"/>
      <c r="B8" s="452" t="s">
        <v>739</v>
      </c>
      <c r="C8" s="952">
        <v>12</v>
      </c>
      <c r="D8" s="544">
        <v>13</v>
      </c>
      <c r="E8" s="544">
        <v>11</v>
      </c>
      <c r="F8" s="58">
        <v>13</v>
      </c>
      <c r="G8" s="453"/>
      <c r="H8" s="453"/>
    </row>
    <row r="9" spans="1:8" s="533" customFormat="1" ht="12" customHeight="1">
      <c r="A9" s="531"/>
      <c r="B9" s="532" t="s">
        <v>459</v>
      </c>
      <c r="C9" s="793"/>
      <c r="D9" s="494"/>
      <c r="E9" s="494"/>
      <c r="F9" s="494"/>
      <c r="G9" s="453"/>
      <c r="H9" s="453"/>
    </row>
    <row r="10" spans="1:8" s="7" customFormat="1" ht="12" customHeight="1">
      <c r="A10" s="199" t="s">
        <v>524</v>
      </c>
      <c r="B10" s="449" t="s">
        <v>460</v>
      </c>
      <c r="C10" s="958">
        <v>21740</v>
      </c>
      <c r="D10" s="495">
        <v>23272</v>
      </c>
      <c r="E10" s="495">
        <v>24105</v>
      </c>
      <c r="F10" s="461">
        <v>23861</v>
      </c>
      <c r="G10" s="648">
        <f>IF(D10=0,0,F10/D10)</f>
        <v>1.0253093846682708</v>
      </c>
      <c r="H10" s="648">
        <f aca="true" t="shared" si="0" ref="H10:H51">IF(E10=0,0,F10/E10)</f>
        <v>0.9898776187512964</v>
      </c>
    </row>
    <row r="11" spans="1:8" s="7" customFormat="1" ht="12" customHeight="1">
      <c r="A11" s="199" t="s">
        <v>525</v>
      </c>
      <c r="B11" s="450" t="s">
        <v>461</v>
      </c>
      <c r="C11" s="964">
        <f>SUM(C12:C15)</f>
        <v>7035</v>
      </c>
      <c r="D11" s="495">
        <f>SUM(D12:D15)</f>
        <v>7432</v>
      </c>
      <c r="E11" s="495">
        <f>SUM(E12:E15)</f>
        <v>7706</v>
      </c>
      <c r="F11" s="461">
        <f>SUM(F12:F15)</f>
        <v>7643</v>
      </c>
      <c r="G11" s="648">
        <f aca="true" t="shared" si="1" ref="G11:G51">IF(D11=0,0,F11/D11)</f>
        <v>1.0283907427341228</v>
      </c>
      <c r="H11" s="648">
        <f t="shared" si="0"/>
        <v>0.9918245522969115</v>
      </c>
    </row>
    <row r="12" spans="1:8" s="7" customFormat="1" ht="12" customHeight="1">
      <c r="A12" s="199"/>
      <c r="B12" s="447" t="s">
        <v>316</v>
      </c>
      <c r="C12" s="959">
        <v>5983</v>
      </c>
      <c r="D12" s="495">
        <v>6470</v>
      </c>
      <c r="E12" s="495">
        <v>6613</v>
      </c>
      <c r="F12" s="461">
        <v>6639</v>
      </c>
      <c r="G12" s="648">
        <f t="shared" si="1"/>
        <v>1.0261205564142195</v>
      </c>
      <c r="H12" s="648">
        <f t="shared" si="0"/>
        <v>1.003931649780735</v>
      </c>
    </row>
    <row r="13" spans="1:8" s="7" customFormat="1" ht="12" customHeight="1">
      <c r="A13" s="199"/>
      <c r="B13" s="447" t="s">
        <v>198</v>
      </c>
      <c r="C13" s="959">
        <v>607</v>
      </c>
      <c r="D13" s="495">
        <v>653</v>
      </c>
      <c r="E13" s="495">
        <v>677</v>
      </c>
      <c r="F13" s="461">
        <v>670</v>
      </c>
      <c r="G13" s="648">
        <f t="shared" si="1"/>
        <v>1.0260336906584993</v>
      </c>
      <c r="H13" s="648">
        <f t="shared" si="0"/>
        <v>0.9896602658788775</v>
      </c>
    </row>
    <row r="14" spans="1:8" s="7" customFormat="1" ht="12" customHeight="1">
      <c r="A14" s="199"/>
      <c r="B14" s="447" t="s">
        <v>199</v>
      </c>
      <c r="C14" s="959">
        <v>445</v>
      </c>
      <c r="D14" s="495">
        <v>279</v>
      </c>
      <c r="E14" s="495">
        <v>277</v>
      </c>
      <c r="F14" s="461">
        <v>304</v>
      </c>
      <c r="G14" s="648">
        <f t="shared" si="1"/>
        <v>1.0896057347670252</v>
      </c>
      <c r="H14" s="648">
        <f t="shared" si="0"/>
        <v>1.0974729241877257</v>
      </c>
    </row>
    <row r="15" spans="1:8" s="7" customFormat="1" ht="12" customHeight="1">
      <c r="A15" s="199"/>
      <c r="B15" s="447" t="s">
        <v>315</v>
      </c>
      <c r="C15" s="959">
        <v>0</v>
      </c>
      <c r="D15" s="495">
        <v>30</v>
      </c>
      <c r="E15" s="495">
        <v>139</v>
      </c>
      <c r="F15" s="461">
        <v>30</v>
      </c>
      <c r="G15" s="648">
        <f t="shared" si="1"/>
        <v>1</v>
      </c>
      <c r="H15" s="648">
        <f t="shared" si="0"/>
        <v>0.2158273381294964</v>
      </c>
    </row>
    <row r="16" spans="1:8" s="7" customFormat="1" ht="12" customHeight="1">
      <c r="A16" s="199" t="s">
        <v>526</v>
      </c>
      <c r="B16" s="449" t="s">
        <v>462</v>
      </c>
      <c r="C16" s="958">
        <v>11650</v>
      </c>
      <c r="D16" s="495">
        <v>10577</v>
      </c>
      <c r="E16" s="495">
        <v>10348</v>
      </c>
      <c r="F16" s="461">
        <v>10939</v>
      </c>
      <c r="G16" s="648">
        <f t="shared" si="1"/>
        <v>1.0342252056348682</v>
      </c>
      <c r="H16" s="648">
        <f t="shared" si="0"/>
        <v>1.0571124855044454</v>
      </c>
    </row>
    <row r="17" spans="1:8" s="6" customFormat="1" ht="24" customHeight="1">
      <c r="A17" s="198" t="s">
        <v>729</v>
      </c>
      <c r="B17" s="460" t="s">
        <v>195</v>
      </c>
      <c r="C17" s="954">
        <f>SUM(C18,C20)</f>
        <v>0</v>
      </c>
      <c r="D17" s="461">
        <f>SUM(D18,D20)</f>
        <v>0</v>
      </c>
      <c r="E17" s="461">
        <f>SUM(E18,E20)</f>
        <v>523</v>
      </c>
      <c r="F17" s="461">
        <f>SUM(F18,F20)</f>
        <v>0</v>
      </c>
      <c r="G17" s="547">
        <f t="shared" si="1"/>
        <v>0</v>
      </c>
      <c r="H17" s="547">
        <f t="shared" si="0"/>
        <v>0</v>
      </c>
    </row>
    <row r="18" spans="1:8" s="7" customFormat="1" ht="12" customHeight="1">
      <c r="A18" s="583"/>
      <c r="B18" s="965" t="s">
        <v>405</v>
      </c>
      <c r="C18" s="966">
        <v>0</v>
      </c>
      <c r="D18" s="496">
        <v>0</v>
      </c>
      <c r="E18" s="496">
        <v>523</v>
      </c>
      <c r="F18" s="580">
        <v>0</v>
      </c>
      <c r="G18" s="517">
        <f t="shared" si="1"/>
        <v>0</v>
      </c>
      <c r="H18" s="517">
        <f t="shared" si="0"/>
        <v>0</v>
      </c>
    </row>
    <row r="19" spans="1:8" s="7" customFormat="1" ht="12" customHeight="1">
      <c r="A19" s="581"/>
      <c r="B19" s="968" t="s">
        <v>447</v>
      </c>
      <c r="C19" s="969">
        <v>0</v>
      </c>
      <c r="D19" s="497"/>
      <c r="E19" s="497">
        <v>523</v>
      </c>
      <c r="F19" s="990">
        <v>0</v>
      </c>
      <c r="G19" s="970">
        <f>IF(D19=0,0,F19/D19)</f>
        <v>0</v>
      </c>
      <c r="H19" s="970">
        <f>IF(E19=0,0,F19/E19)</f>
        <v>0</v>
      </c>
    </row>
    <row r="20" spans="1:8" s="7" customFormat="1" ht="24" customHeight="1">
      <c r="A20" s="199"/>
      <c r="B20" s="972" t="s">
        <v>406</v>
      </c>
      <c r="C20" s="973">
        <v>0</v>
      </c>
      <c r="D20" s="495">
        <v>0</v>
      </c>
      <c r="E20" s="495">
        <v>0</v>
      </c>
      <c r="F20" s="461">
        <v>0</v>
      </c>
      <c r="G20" s="648">
        <f t="shared" si="1"/>
        <v>0</v>
      </c>
      <c r="H20" s="648">
        <f t="shared" si="0"/>
        <v>0</v>
      </c>
    </row>
    <row r="21" spans="1:8" s="7" customFormat="1" ht="12" customHeight="1">
      <c r="A21" s="199" t="s">
        <v>730</v>
      </c>
      <c r="B21" s="449" t="s">
        <v>185</v>
      </c>
      <c r="C21" s="958">
        <v>0</v>
      </c>
      <c r="D21" s="495">
        <v>0</v>
      </c>
      <c r="E21" s="495">
        <v>0</v>
      </c>
      <c r="F21" s="461">
        <v>0</v>
      </c>
      <c r="G21" s="648">
        <f t="shared" si="1"/>
        <v>0</v>
      </c>
      <c r="H21" s="648">
        <f t="shared" si="0"/>
        <v>0</v>
      </c>
    </row>
    <row r="22" spans="1:8" s="7" customFormat="1" ht="12" customHeight="1">
      <c r="A22" s="199" t="s">
        <v>731</v>
      </c>
      <c r="B22" s="449" t="s">
        <v>83</v>
      </c>
      <c r="C22" s="958">
        <v>0</v>
      </c>
      <c r="D22" s="495">
        <v>0</v>
      </c>
      <c r="E22" s="495">
        <v>0</v>
      </c>
      <c r="F22" s="461">
        <v>0</v>
      </c>
      <c r="G22" s="648">
        <f>IF(D22=0,0,F22/D22)</f>
        <v>0</v>
      </c>
      <c r="H22" s="648">
        <f>IF(E22=0,0,F22/E22)</f>
        <v>0</v>
      </c>
    </row>
    <row r="23" spans="1:8" s="536" customFormat="1" ht="13.5">
      <c r="A23" s="531" t="s">
        <v>805</v>
      </c>
      <c r="B23" s="532" t="s">
        <v>317</v>
      </c>
      <c r="C23" s="568">
        <f>SUM(C10,C11,C16,C17,C21,C22)</f>
        <v>40425</v>
      </c>
      <c r="D23" s="568">
        <f>SUM(D10,D11,D16,D17,D21,D22)</f>
        <v>41281</v>
      </c>
      <c r="E23" s="568">
        <f>SUM(E10,E11,E16,E17,E21,E22)</f>
        <v>42682</v>
      </c>
      <c r="F23" s="568">
        <f>SUM(F10,F11,F16,F17,F21,F22)</f>
        <v>42443</v>
      </c>
      <c r="G23" s="502">
        <f t="shared" si="1"/>
        <v>1.0281485429132047</v>
      </c>
      <c r="H23" s="502">
        <f t="shared" si="0"/>
        <v>0.9944004498383393</v>
      </c>
    </row>
    <row r="24" spans="1:8" s="7" customFormat="1" ht="12" customHeight="1">
      <c r="A24" s="199" t="s">
        <v>732</v>
      </c>
      <c r="B24" s="449" t="s">
        <v>200</v>
      </c>
      <c r="C24" s="958">
        <v>9926</v>
      </c>
      <c r="D24" s="495">
        <v>0</v>
      </c>
      <c r="E24" s="495">
        <v>6128</v>
      </c>
      <c r="F24" s="461">
        <v>0</v>
      </c>
      <c r="G24" s="648">
        <f t="shared" si="1"/>
        <v>0</v>
      </c>
      <c r="H24" s="648">
        <f t="shared" si="0"/>
        <v>0</v>
      </c>
    </row>
    <row r="25" spans="1:8" s="7" customFormat="1" ht="12" customHeight="1">
      <c r="A25" s="199" t="s">
        <v>733</v>
      </c>
      <c r="B25" s="449" t="s">
        <v>203</v>
      </c>
      <c r="C25" s="958">
        <v>1612</v>
      </c>
      <c r="D25" s="495">
        <v>0</v>
      </c>
      <c r="E25" s="495">
        <v>2302</v>
      </c>
      <c r="F25" s="461">
        <v>0</v>
      </c>
      <c r="G25" s="648">
        <f t="shared" si="1"/>
        <v>0</v>
      </c>
      <c r="H25" s="648">
        <f t="shared" si="0"/>
        <v>0</v>
      </c>
    </row>
    <row r="26" spans="1:8" s="6" customFormat="1" ht="25.5" customHeight="1">
      <c r="A26" s="198" t="s">
        <v>734</v>
      </c>
      <c r="B26" s="460" t="s">
        <v>196</v>
      </c>
      <c r="C26" s="955">
        <f>SUM(C28,C30)</f>
        <v>0</v>
      </c>
      <c r="D26" s="461">
        <f>SUM(D28,D30)</f>
        <v>0</v>
      </c>
      <c r="E26" s="461">
        <f>SUM(E28,E30)</f>
        <v>400</v>
      </c>
      <c r="F26" s="461">
        <f>SUM(F28,F30)</f>
        <v>0</v>
      </c>
      <c r="G26" s="547">
        <f t="shared" si="1"/>
        <v>0</v>
      </c>
      <c r="H26" s="547">
        <f t="shared" si="0"/>
        <v>0</v>
      </c>
    </row>
    <row r="27" spans="1:8" s="7" customFormat="1" ht="12" customHeight="1" hidden="1">
      <c r="A27" s="199"/>
      <c r="B27" s="446"/>
      <c r="C27" s="963"/>
      <c r="D27" s="461"/>
      <c r="E27" s="461"/>
      <c r="F27" s="461"/>
      <c r="G27" s="648">
        <f t="shared" si="1"/>
        <v>0</v>
      </c>
      <c r="H27" s="648">
        <f t="shared" si="0"/>
        <v>0</v>
      </c>
    </row>
    <row r="28" spans="1:8" s="7" customFormat="1" ht="12" customHeight="1">
      <c r="A28" s="583"/>
      <c r="B28" s="965" t="s">
        <v>407</v>
      </c>
      <c r="C28" s="966">
        <v>0</v>
      </c>
      <c r="D28" s="496">
        <v>0</v>
      </c>
      <c r="E28" s="496">
        <v>400</v>
      </c>
      <c r="F28" s="580">
        <v>0</v>
      </c>
      <c r="G28" s="517">
        <f t="shared" si="1"/>
        <v>0</v>
      </c>
      <c r="H28" s="517">
        <f t="shared" si="0"/>
        <v>0</v>
      </c>
    </row>
    <row r="29" spans="1:8" s="7" customFormat="1" ht="12" customHeight="1">
      <c r="A29" s="581"/>
      <c r="B29" s="968" t="s">
        <v>447</v>
      </c>
      <c r="C29" s="969">
        <v>0</v>
      </c>
      <c r="D29" s="497"/>
      <c r="E29" s="497">
        <v>400</v>
      </c>
      <c r="F29" s="990">
        <v>0</v>
      </c>
      <c r="G29" s="970">
        <f>IF(D29=0,0,F29/D29)</f>
        <v>0</v>
      </c>
      <c r="H29" s="970">
        <f>IF(E29=0,0,F29/E29)</f>
        <v>0</v>
      </c>
    </row>
    <row r="30" spans="1:8" s="7" customFormat="1" ht="24" customHeight="1">
      <c r="A30" s="199"/>
      <c r="B30" s="972" t="s">
        <v>408</v>
      </c>
      <c r="C30" s="973">
        <v>0</v>
      </c>
      <c r="D30" s="495">
        <v>0</v>
      </c>
      <c r="E30" s="495">
        <v>0</v>
      </c>
      <c r="F30" s="461">
        <v>0</v>
      </c>
      <c r="G30" s="648">
        <f t="shared" si="1"/>
        <v>0</v>
      </c>
      <c r="H30" s="648">
        <f t="shared" si="0"/>
        <v>0</v>
      </c>
    </row>
    <row r="31" spans="1:8" s="533" customFormat="1" ht="12" customHeight="1">
      <c r="A31" s="531" t="s">
        <v>327</v>
      </c>
      <c r="B31" s="532" t="s">
        <v>318</v>
      </c>
      <c r="C31" s="956">
        <f>SUM(C24,C25,C26)</f>
        <v>11538</v>
      </c>
      <c r="D31" s="494">
        <f>SUM(D24,D25,D26)</f>
        <v>0</v>
      </c>
      <c r="E31" s="494">
        <f>SUM(E24,E25,E26)</f>
        <v>8830</v>
      </c>
      <c r="F31" s="494">
        <f>SUM(F24,F25,F26)</f>
        <v>0</v>
      </c>
      <c r="G31" s="502">
        <f t="shared" si="1"/>
        <v>0</v>
      </c>
      <c r="H31" s="502">
        <f t="shared" si="0"/>
        <v>0</v>
      </c>
    </row>
    <row r="32" spans="1:8" s="533" customFormat="1" ht="13.5" customHeight="1">
      <c r="A32" s="531"/>
      <c r="B32" s="532" t="s">
        <v>756</v>
      </c>
      <c r="C32" s="956">
        <f>SUM(C23,C24:C26)</f>
        <v>51963</v>
      </c>
      <c r="D32" s="494">
        <f>SUM(D23,D24:D26)</f>
        <v>41281</v>
      </c>
      <c r="E32" s="494">
        <f>SUM(E23,E24:E26)</f>
        <v>51512</v>
      </c>
      <c r="F32" s="494">
        <f>SUM(F23,F24:F26)</f>
        <v>42443</v>
      </c>
      <c r="G32" s="502">
        <f t="shared" si="1"/>
        <v>1.0281485429132047</v>
      </c>
      <c r="H32" s="502">
        <f t="shared" si="0"/>
        <v>0.8239439353936947</v>
      </c>
    </row>
    <row r="33" spans="1:8" s="533" customFormat="1" ht="12" customHeight="1">
      <c r="A33" s="531"/>
      <c r="B33" s="974" t="s">
        <v>319</v>
      </c>
      <c r="C33" s="975"/>
      <c r="D33" s="461"/>
      <c r="E33" s="461"/>
      <c r="F33" s="461"/>
      <c r="G33" s="648"/>
      <c r="H33" s="648"/>
    </row>
    <row r="34" spans="1:8" s="533" customFormat="1" ht="12" customHeight="1">
      <c r="A34" s="199" t="s">
        <v>524</v>
      </c>
      <c r="B34" s="976" t="s">
        <v>400</v>
      </c>
      <c r="C34" s="977">
        <v>0</v>
      </c>
      <c r="D34" s="495">
        <v>0</v>
      </c>
      <c r="E34" s="495">
        <v>0</v>
      </c>
      <c r="F34" s="461">
        <v>0</v>
      </c>
      <c r="G34" s="517">
        <f t="shared" si="1"/>
        <v>0</v>
      </c>
      <c r="H34" s="517">
        <f t="shared" si="0"/>
        <v>0</v>
      </c>
    </row>
    <row r="35" spans="1:8" s="533" customFormat="1" ht="24" customHeight="1">
      <c r="A35" s="583" t="s">
        <v>525</v>
      </c>
      <c r="B35" s="978" t="s">
        <v>791</v>
      </c>
      <c r="C35" s="979">
        <v>9237</v>
      </c>
      <c r="D35" s="496">
        <v>9498</v>
      </c>
      <c r="E35" s="496">
        <v>10049</v>
      </c>
      <c r="F35" s="1202">
        <v>9952</v>
      </c>
      <c r="G35" s="517">
        <f t="shared" si="1"/>
        <v>1.0477995367445778</v>
      </c>
      <c r="H35" s="517">
        <f t="shared" si="0"/>
        <v>0.9903472982386307</v>
      </c>
    </row>
    <row r="36" spans="1:8" s="533" customFormat="1" ht="12" customHeight="1">
      <c r="A36" s="581"/>
      <c r="B36" s="980" t="s">
        <v>396</v>
      </c>
      <c r="C36" s="981">
        <v>0</v>
      </c>
      <c r="D36" s="497">
        <v>0</v>
      </c>
      <c r="E36" s="497">
        <v>0</v>
      </c>
      <c r="F36" s="1203">
        <v>0</v>
      </c>
      <c r="G36" s="970">
        <f>IF(D36=0,0,F36/D36)</f>
        <v>0</v>
      </c>
      <c r="H36" s="970">
        <f>IF(E36=0,0,F36/E36)</f>
        <v>0</v>
      </c>
    </row>
    <row r="37" spans="1:8" s="533" customFormat="1" ht="12" customHeight="1">
      <c r="A37" s="199" t="s">
        <v>526</v>
      </c>
      <c r="B37" s="36" t="s">
        <v>726</v>
      </c>
      <c r="C37" s="498">
        <v>0</v>
      </c>
      <c r="D37" s="495">
        <v>0</v>
      </c>
      <c r="E37" s="495">
        <v>0</v>
      </c>
      <c r="F37" s="461">
        <v>163</v>
      </c>
      <c r="G37" s="970">
        <f t="shared" si="1"/>
        <v>0</v>
      </c>
      <c r="H37" s="970">
        <f t="shared" si="0"/>
        <v>0</v>
      </c>
    </row>
    <row r="38" spans="1:8" s="533" customFormat="1" ht="12" customHeight="1">
      <c r="A38" s="199" t="s">
        <v>729</v>
      </c>
      <c r="B38" s="449" t="s">
        <v>607</v>
      </c>
      <c r="C38" s="498">
        <v>2</v>
      </c>
      <c r="D38" s="495">
        <v>2</v>
      </c>
      <c r="E38" s="495">
        <v>3</v>
      </c>
      <c r="F38" s="461">
        <v>2</v>
      </c>
      <c r="G38" s="648">
        <f t="shared" si="1"/>
        <v>1</v>
      </c>
      <c r="H38" s="648">
        <f t="shared" si="0"/>
        <v>0.6666666666666666</v>
      </c>
    </row>
    <row r="39" spans="1:8" s="533" customFormat="1" ht="12" customHeight="1">
      <c r="A39" s="199" t="s">
        <v>730</v>
      </c>
      <c r="B39" s="449" t="s">
        <v>349</v>
      </c>
      <c r="C39" s="499">
        <v>0</v>
      </c>
      <c r="D39" s="495">
        <v>0</v>
      </c>
      <c r="E39" s="495">
        <v>0</v>
      </c>
      <c r="F39" s="461">
        <v>0</v>
      </c>
      <c r="G39" s="648">
        <f t="shared" si="1"/>
        <v>0</v>
      </c>
      <c r="H39" s="648">
        <f t="shared" si="0"/>
        <v>0</v>
      </c>
    </row>
    <row r="40" spans="1:8" s="533" customFormat="1" ht="25.5" customHeight="1">
      <c r="A40" s="583" t="s">
        <v>731</v>
      </c>
      <c r="B40" s="982" t="s">
        <v>192</v>
      </c>
      <c r="C40" s="983">
        <v>1914</v>
      </c>
      <c r="D40" s="496">
        <v>0</v>
      </c>
      <c r="E40" s="496">
        <v>2216</v>
      </c>
      <c r="F40" s="580">
        <v>0</v>
      </c>
      <c r="G40" s="517">
        <f t="shared" si="1"/>
        <v>0</v>
      </c>
      <c r="H40" s="517">
        <f t="shared" si="0"/>
        <v>0</v>
      </c>
    </row>
    <row r="41" spans="1:8" s="533" customFormat="1" ht="9.75" customHeight="1">
      <c r="A41" s="581"/>
      <c r="B41" s="968" t="s">
        <v>447</v>
      </c>
      <c r="C41" s="981">
        <v>0</v>
      </c>
      <c r="D41" s="497">
        <v>0</v>
      </c>
      <c r="E41" s="497">
        <v>2175</v>
      </c>
      <c r="F41" s="990">
        <v>0</v>
      </c>
      <c r="G41" s="970">
        <f>IF(D41=0,0,F41/D41)</f>
        <v>0</v>
      </c>
      <c r="H41" s="970">
        <f>IF(E41=0,0,F41/E41)</f>
        <v>0</v>
      </c>
    </row>
    <row r="42" spans="1:8" s="533" customFormat="1" ht="24" customHeight="1">
      <c r="A42" s="199" t="s">
        <v>732</v>
      </c>
      <c r="B42" s="984" t="s">
        <v>625</v>
      </c>
      <c r="C42" s="985">
        <v>0</v>
      </c>
      <c r="D42" s="495">
        <v>0</v>
      </c>
      <c r="E42" s="495">
        <v>0</v>
      </c>
      <c r="F42" s="580">
        <v>0</v>
      </c>
      <c r="G42" s="648">
        <f t="shared" si="1"/>
        <v>0</v>
      </c>
      <c r="H42" s="648">
        <f t="shared" si="0"/>
        <v>0</v>
      </c>
    </row>
    <row r="43" spans="1:8" s="533" customFormat="1" ht="12" customHeight="1">
      <c r="A43" s="583" t="s">
        <v>733</v>
      </c>
      <c r="B43" s="982" t="s">
        <v>194</v>
      </c>
      <c r="C43" s="983">
        <v>0</v>
      </c>
      <c r="D43" s="496">
        <v>0</v>
      </c>
      <c r="E43" s="496">
        <v>400</v>
      </c>
      <c r="F43" s="580">
        <v>0</v>
      </c>
      <c r="G43" s="517">
        <f t="shared" si="1"/>
        <v>0</v>
      </c>
      <c r="H43" s="517">
        <f t="shared" si="0"/>
        <v>0</v>
      </c>
    </row>
    <row r="44" spans="1:8" s="533" customFormat="1" ht="12" customHeight="1">
      <c r="A44" s="581"/>
      <c r="B44" s="968" t="s">
        <v>447</v>
      </c>
      <c r="C44" s="981">
        <v>0</v>
      </c>
      <c r="D44" s="497">
        <v>0</v>
      </c>
      <c r="E44" s="497">
        <v>400</v>
      </c>
      <c r="F44" s="990">
        <v>0</v>
      </c>
      <c r="G44" s="970">
        <f>IF(D44=0,0,F44/D44)</f>
        <v>0</v>
      </c>
      <c r="H44" s="970">
        <f>IF(E44=0,0,F44/E44)</f>
        <v>0</v>
      </c>
    </row>
    <row r="45" spans="1:8" s="533" customFormat="1" ht="22.5" customHeight="1">
      <c r="A45" s="199" t="s">
        <v>734</v>
      </c>
      <c r="B45" s="984" t="s">
        <v>418</v>
      </c>
      <c r="C45" s="986">
        <v>0</v>
      </c>
      <c r="D45" s="495">
        <v>0</v>
      </c>
      <c r="E45" s="495">
        <v>0</v>
      </c>
      <c r="F45" s="990">
        <v>0</v>
      </c>
      <c r="G45" s="648">
        <f t="shared" si="1"/>
        <v>0</v>
      </c>
      <c r="H45" s="648">
        <f t="shared" si="0"/>
        <v>0</v>
      </c>
    </row>
    <row r="46" spans="1:8" s="533" customFormat="1" ht="12" customHeight="1">
      <c r="A46" s="199" t="s">
        <v>735</v>
      </c>
      <c r="B46" s="449" t="s">
        <v>311</v>
      </c>
      <c r="C46" s="498">
        <v>0</v>
      </c>
      <c r="D46" s="495">
        <v>0</v>
      </c>
      <c r="E46" s="495">
        <v>0</v>
      </c>
      <c r="F46" s="461">
        <v>0</v>
      </c>
      <c r="G46" s="648">
        <f t="shared" si="1"/>
        <v>0</v>
      </c>
      <c r="H46" s="648">
        <f t="shared" si="0"/>
        <v>0</v>
      </c>
    </row>
    <row r="47" spans="1:8" s="533" customFormat="1" ht="12" customHeight="1">
      <c r="A47" s="199" t="s">
        <v>736</v>
      </c>
      <c r="B47" s="449" t="s">
        <v>312</v>
      </c>
      <c r="C47" s="498">
        <v>2157</v>
      </c>
      <c r="D47" s="495">
        <v>0</v>
      </c>
      <c r="E47" s="495">
        <v>3649</v>
      </c>
      <c r="F47" s="461">
        <v>0</v>
      </c>
      <c r="G47" s="648">
        <f t="shared" si="1"/>
        <v>0</v>
      </c>
      <c r="H47" s="648">
        <f t="shared" si="0"/>
        <v>0</v>
      </c>
    </row>
    <row r="48" spans="1:8" s="533" customFormat="1" ht="12" customHeight="1">
      <c r="A48" s="531"/>
      <c r="B48" s="532" t="s">
        <v>768</v>
      </c>
      <c r="C48" s="494">
        <f>SUM(C34:C47)-C36-C41-C44</f>
        <v>13310</v>
      </c>
      <c r="D48" s="494">
        <f>SUM(D34:D47)-D36-D41-D44</f>
        <v>9500</v>
      </c>
      <c r="E48" s="494">
        <f>SUM(E34:E47)-E36-E41-E44</f>
        <v>16317</v>
      </c>
      <c r="F48" s="494">
        <f>SUM(F34:F47)-F36-F41-F44</f>
        <v>10117</v>
      </c>
      <c r="G48" s="502">
        <f t="shared" si="1"/>
        <v>1.0649473684210526</v>
      </c>
      <c r="H48" s="502">
        <f t="shared" si="0"/>
        <v>0.6200281914567629</v>
      </c>
    </row>
    <row r="49" spans="1:8" s="536" customFormat="1" ht="13.5">
      <c r="A49" s="537" t="s">
        <v>737</v>
      </c>
      <c r="B49" s="532" t="s">
        <v>351</v>
      </c>
      <c r="C49" s="397">
        <v>41556</v>
      </c>
      <c r="D49" s="494">
        <v>31781</v>
      </c>
      <c r="E49" s="494">
        <v>38476</v>
      </c>
      <c r="F49" s="494">
        <v>32326</v>
      </c>
      <c r="G49" s="502">
        <f t="shared" si="1"/>
        <v>1.0171486108051981</v>
      </c>
      <c r="H49" s="502">
        <f t="shared" si="0"/>
        <v>0.8401600998024743</v>
      </c>
    </row>
    <row r="50" spans="1:8" s="536" customFormat="1" ht="11.25" customHeight="1">
      <c r="A50" s="346"/>
      <c r="B50" s="987" t="s">
        <v>197</v>
      </c>
      <c r="C50" s="947">
        <v>0</v>
      </c>
      <c r="D50" s="451">
        <v>20119</v>
      </c>
      <c r="E50" s="451">
        <v>20119</v>
      </c>
      <c r="F50" s="992">
        <v>19409</v>
      </c>
      <c r="G50" s="648">
        <f t="shared" si="1"/>
        <v>0.9647099756449128</v>
      </c>
      <c r="H50" s="648">
        <f t="shared" si="0"/>
        <v>0.9647099756449128</v>
      </c>
    </row>
    <row r="51" spans="1:8" s="536" customFormat="1" ht="11.25" customHeight="1">
      <c r="A51" s="346"/>
      <c r="B51" s="565" t="s">
        <v>398</v>
      </c>
      <c r="C51" s="948">
        <v>0</v>
      </c>
      <c r="D51" s="451">
        <v>0</v>
      </c>
      <c r="E51" s="451">
        <v>0</v>
      </c>
      <c r="F51" s="992">
        <v>0</v>
      </c>
      <c r="G51" s="648">
        <f t="shared" si="1"/>
        <v>0</v>
      </c>
      <c r="H51" s="648">
        <f t="shared" si="0"/>
        <v>0</v>
      </c>
    </row>
    <row r="52" spans="1:8" s="536" customFormat="1" ht="13.5" customHeight="1">
      <c r="A52" s="566"/>
      <c r="B52" s="567" t="s">
        <v>749</v>
      </c>
      <c r="C52" s="793">
        <f>SUM(C48,C49)</f>
        <v>54866</v>
      </c>
      <c r="D52" s="568">
        <f>SUM(D48:D49)</f>
        <v>41281</v>
      </c>
      <c r="E52" s="568">
        <f>SUM(E48:E49)</f>
        <v>54793</v>
      </c>
      <c r="F52" s="568">
        <f>SUM(F48:F49)</f>
        <v>42443</v>
      </c>
      <c r="G52" s="993">
        <f>IF(D52=0,0,F52/D52)</f>
        <v>1.0281485429132047</v>
      </c>
      <c r="H52" s="993">
        <f>IF(E52=0,0,F52/E52)</f>
        <v>0.7746062453233077</v>
      </c>
    </row>
    <row r="53" spans="6:9" ht="15.75">
      <c r="F53" s="546"/>
      <c r="G53" s="509"/>
      <c r="H53" s="509"/>
      <c r="I53" s="8"/>
    </row>
  </sheetData>
  <sheetProtection password="CC08"/>
  <mergeCells count="4">
    <mergeCell ref="A1:H1"/>
    <mergeCell ref="A2:H2"/>
    <mergeCell ref="A3:H3"/>
    <mergeCell ref="A4:H4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CE,Normál"3/g. számú melléklet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ntry="1"/>
  <dimension ref="A1:I53"/>
  <sheetViews>
    <sheetView workbookViewId="0" topLeftCell="A37">
      <selection activeCell="F51" sqref="F51"/>
    </sheetView>
  </sheetViews>
  <sheetFormatPr defaultColWidth="9.140625" defaultRowHeight="12.75"/>
  <cols>
    <col min="1" max="1" width="4.421875" style="8" customWidth="1"/>
    <col min="2" max="2" width="38.57421875" style="10" customWidth="1"/>
    <col min="3" max="3" width="9.8515625" style="10" customWidth="1"/>
    <col min="4" max="4" width="10.28125" style="9" customWidth="1"/>
    <col min="5" max="5" width="10.140625" style="9" customWidth="1"/>
    <col min="6" max="6" width="10.28125" style="543" customWidth="1"/>
    <col min="7" max="7" width="9.00390625" style="3" customWidth="1"/>
    <col min="8" max="8" width="8.28125" style="3" customWidth="1"/>
    <col min="9" max="16384" width="8.8515625" style="3" customWidth="1"/>
  </cols>
  <sheetData>
    <row r="1" spans="1:8" ht="15.75">
      <c r="A1" s="1342" t="s">
        <v>426</v>
      </c>
      <c r="B1" s="1343"/>
      <c r="C1" s="1343"/>
      <c r="D1" s="1343"/>
      <c r="E1" s="1343"/>
      <c r="F1" s="1343"/>
      <c r="G1" s="1343"/>
      <c r="H1" s="1343"/>
    </row>
    <row r="2" spans="1:8" ht="15.75">
      <c r="A2" s="1348" t="s">
        <v>903</v>
      </c>
      <c r="B2" s="1345"/>
      <c r="C2" s="1345"/>
      <c r="D2" s="1345"/>
      <c r="E2" s="1345"/>
      <c r="F2" s="1345"/>
      <c r="G2" s="1345"/>
      <c r="H2" s="1345"/>
    </row>
    <row r="3" spans="1:8" ht="15.75">
      <c r="A3" s="1348" t="s">
        <v>759</v>
      </c>
      <c r="B3" s="1345"/>
      <c r="C3" s="1345"/>
      <c r="D3" s="1345"/>
      <c r="E3" s="1345"/>
      <c r="F3" s="1345"/>
      <c r="G3" s="1345"/>
      <c r="H3" s="1345"/>
    </row>
    <row r="4" spans="1:8" ht="15.75">
      <c r="A4" s="1366" t="s">
        <v>763</v>
      </c>
      <c r="B4" s="1345"/>
      <c r="C4" s="1345"/>
      <c r="D4" s="1345"/>
      <c r="E4" s="1345"/>
      <c r="F4" s="1345"/>
      <c r="G4" s="1345"/>
      <c r="H4" s="1345"/>
    </row>
    <row r="5" spans="2:8" ht="15.75" customHeight="1">
      <c r="B5" s="720"/>
      <c r="C5" s="720"/>
      <c r="D5" s="4"/>
      <c r="E5" s="4"/>
      <c r="F5" s="4"/>
      <c r="G5" s="721"/>
      <c r="H5" s="722" t="s">
        <v>128</v>
      </c>
    </row>
    <row r="6" spans="1:8" s="5" customFormat="1" ht="39.75" customHeight="1">
      <c r="A6" s="1226" t="s">
        <v>169</v>
      </c>
      <c r="B6" s="197" t="s">
        <v>129</v>
      </c>
      <c r="C6" s="725" t="s">
        <v>257</v>
      </c>
      <c r="D6" s="563" t="s">
        <v>911</v>
      </c>
      <c r="E6" s="563" t="s">
        <v>258</v>
      </c>
      <c r="F6" s="988" t="s">
        <v>249</v>
      </c>
      <c r="G6" s="723" t="s">
        <v>259</v>
      </c>
      <c r="H6" s="723" t="s">
        <v>259</v>
      </c>
    </row>
    <row r="7" spans="1:8" s="5" customFormat="1" ht="12" customHeight="1">
      <c r="A7" s="197" t="s">
        <v>524</v>
      </c>
      <c r="B7" s="445" t="s">
        <v>525</v>
      </c>
      <c r="C7" s="445" t="s">
        <v>526</v>
      </c>
      <c r="D7" s="445" t="s">
        <v>729</v>
      </c>
      <c r="E7" s="445" t="s">
        <v>730</v>
      </c>
      <c r="F7" s="989" t="s">
        <v>731</v>
      </c>
      <c r="G7" s="724" t="s">
        <v>250</v>
      </c>
      <c r="H7" s="724" t="s">
        <v>251</v>
      </c>
    </row>
    <row r="8" spans="1:8" s="6" customFormat="1" ht="12" customHeight="1">
      <c r="A8" s="198"/>
      <c r="B8" s="452" t="s">
        <v>739</v>
      </c>
      <c r="C8" s="952">
        <v>13</v>
      </c>
      <c r="D8" s="544">
        <v>13</v>
      </c>
      <c r="E8" s="544">
        <v>11</v>
      </c>
      <c r="F8" s="58">
        <v>13</v>
      </c>
      <c r="G8" s="453"/>
      <c r="H8" s="453"/>
    </row>
    <row r="9" spans="1:8" s="533" customFormat="1" ht="12" customHeight="1">
      <c r="A9" s="531"/>
      <c r="B9" s="532" t="s">
        <v>459</v>
      </c>
      <c r="C9" s="793"/>
      <c r="D9" s="494"/>
      <c r="E9" s="494"/>
      <c r="F9" s="494"/>
      <c r="G9" s="453"/>
      <c r="H9" s="453"/>
    </row>
    <row r="10" spans="1:8" s="7" customFormat="1" ht="12" customHeight="1">
      <c r="A10" s="199" t="s">
        <v>524</v>
      </c>
      <c r="B10" s="449" t="s">
        <v>460</v>
      </c>
      <c r="C10" s="958">
        <v>23556</v>
      </c>
      <c r="D10" s="495">
        <v>24840</v>
      </c>
      <c r="E10" s="495">
        <v>25682</v>
      </c>
      <c r="F10" s="461">
        <v>25953</v>
      </c>
      <c r="G10" s="648">
        <f>IF(D10=0,0,F10/D10)</f>
        <v>1.0448067632850242</v>
      </c>
      <c r="H10" s="648">
        <f aca="true" t="shared" si="0" ref="H10:H51">IF(E10=0,0,F10/E10)</f>
        <v>1.010552137683981</v>
      </c>
    </row>
    <row r="11" spans="1:8" s="7" customFormat="1" ht="12" customHeight="1">
      <c r="A11" s="199" t="s">
        <v>525</v>
      </c>
      <c r="B11" s="450" t="s">
        <v>461</v>
      </c>
      <c r="C11" s="964">
        <f>SUM(C12:C15)</f>
        <v>7591</v>
      </c>
      <c r="D11" s="495">
        <f>SUM(D12:D15)</f>
        <v>7805</v>
      </c>
      <c r="E11" s="495">
        <f>SUM(E12:E15)</f>
        <v>8024</v>
      </c>
      <c r="F11" s="461">
        <f>SUM(F12:F15)</f>
        <v>8154</v>
      </c>
      <c r="G11" s="648">
        <f aca="true" t="shared" si="1" ref="G11:G51">IF(D11=0,0,F11/D11)</f>
        <v>1.044714926329276</v>
      </c>
      <c r="H11" s="648">
        <f t="shared" si="0"/>
        <v>1.0162013958125624</v>
      </c>
    </row>
    <row r="12" spans="1:8" s="7" customFormat="1" ht="12" customHeight="1">
      <c r="A12" s="199"/>
      <c r="B12" s="447" t="s">
        <v>316</v>
      </c>
      <c r="C12" s="959">
        <v>6309</v>
      </c>
      <c r="D12" s="495">
        <v>6817</v>
      </c>
      <c r="E12" s="495">
        <v>6950</v>
      </c>
      <c r="F12" s="461">
        <v>7111</v>
      </c>
      <c r="G12" s="648">
        <f t="shared" si="1"/>
        <v>1.0431274754290745</v>
      </c>
      <c r="H12" s="648">
        <f t="shared" si="0"/>
        <v>1.0231654676258992</v>
      </c>
    </row>
    <row r="13" spans="1:8" s="7" customFormat="1" ht="12" customHeight="1">
      <c r="A13" s="199"/>
      <c r="B13" s="447" t="s">
        <v>198</v>
      </c>
      <c r="C13" s="959">
        <v>633</v>
      </c>
      <c r="D13" s="495">
        <v>679</v>
      </c>
      <c r="E13" s="495">
        <v>700</v>
      </c>
      <c r="F13" s="461">
        <v>709</v>
      </c>
      <c r="G13" s="648">
        <f t="shared" si="1"/>
        <v>1.0441826215022092</v>
      </c>
      <c r="H13" s="648">
        <f t="shared" si="0"/>
        <v>1.012857142857143</v>
      </c>
    </row>
    <row r="14" spans="1:8" s="7" customFormat="1" ht="12" customHeight="1">
      <c r="A14" s="199"/>
      <c r="B14" s="447" t="s">
        <v>199</v>
      </c>
      <c r="C14" s="959">
        <v>580</v>
      </c>
      <c r="D14" s="495">
        <v>279</v>
      </c>
      <c r="E14" s="495">
        <v>329</v>
      </c>
      <c r="F14" s="461">
        <v>304</v>
      </c>
      <c r="G14" s="648">
        <f t="shared" si="1"/>
        <v>1.0896057347670252</v>
      </c>
      <c r="H14" s="648">
        <f t="shared" si="0"/>
        <v>0.9240121580547113</v>
      </c>
    </row>
    <row r="15" spans="1:8" s="7" customFormat="1" ht="12" customHeight="1">
      <c r="A15" s="199"/>
      <c r="B15" s="447" t="s">
        <v>315</v>
      </c>
      <c r="C15" s="959">
        <v>69</v>
      </c>
      <c r="D15" s="495">
        <v>30</v>
      </c>
      <c r="E15" s="495">
        <v>45</v>
      </c>
      <c r="F15" s="461">
        <v>30</v>
      </c>
      <c r="G15" s="648">
        <f t="shared" si="1"/>
        <v>1</v>
      </c>
      <c r="H15" s="648">
        <f t="shared" si="0"/>
        <v>0.6666666666666666</v>
      </c>
    </row>
    <row r="16" spans="1:8" s="7" customFormat="1" ht="12" customHeight="1">
      <c r="A16" s="199" t="s">
        <v>526</v>
      </c>
      <c r="B16" s="449" t="s">
        <v>462</v>
      </c>
      <c r="C16" s="958">
        <v>23931</v>
      </c>
      <c r="D16" s="495">
        <v>24709</v>
      </c>
      <c r="E16" s="495">
        <v>25510</v>
      </c>
      <c r="F16" s="461">
        <v>25205</v>
      </c>
      <c r="G16" s="648">
        <f t="shared" si="1"/>
        <v>1.0200736573718079</v>
      </c>
      <c r="H16" s="648">
        <f t="shared" si="0"/>
        <v>0.9880439043512348</v>
      </c>
    </row>
    <row r="17" spans="1:8" s="6" customFormat="1" ht="24" customHeight="1">
      <c r="A17" s="198" t="s">
        <v>729</v>
      </c>
      <c r="B17" s="460" t="s">
        <v>195</v>
      </c>
      <c r="C17" s="954">
        <f>SUM(C18,C20)</f>
        <v>0</v>
      </c>
      <c r="D17" s="461">
        <f>SUM(D18,D20)</f>
        <v>0</v>
      </c>
      <c r="E17" s="461">
        <f>SUM(E18,E20)</f>
        <v>309</v>
      </c>
      <c r="F17" s="461">
        <f>SUM(F18,F20)</f>
        <v>0</v>
      </c>
      <c r="G17" s="547">
        <f t="shared" si="1"/>
        <v>0</v>
      </c>
      <c r="H17" s="547">
        <f t="shared" si="0"/>
        <v>0</v>
      </c>
    </row>
    <row r="18" spans="1:8" s="7" customFormat="1" ht="12" customHeight="1">
      <c r="A18" s="583"/>
      <c r="B18" s="965" t="s">
        <v>405</v>
      </c>
      <c r="C18" s="966">
        <v>0</v>
      </c>
      <c r="D18" s="496">
        <v>0</v>
      </c>
      <c r="E18" s="496">
        <v>309</v>
      </c>
      <c r="F18" s="580">
        <v>0</v>
      </c>
      <c r="G18" s="517">
        <f t="shared" si="1"/>
        <v>0</v>
      </c>
      <c r="H18" s="517">
        <f t="shared" si="0"/>
        <v>0</v>
      </c>
    </row>
    <row r="19" spans="1:8" s="7" customFormat="1" ht="12" customHeight="1">
      <c r="A19" s="581"/>
      <c r="B19" s="968" t="s">
        <v>447</v>
      </c>
      <c r="C19" s="969">
        <v>0</v>
      </c>
      <c r="D19" s="497">
        <v>0</v>
      </c>
      <c r="E19" s="497">
        <v>309</v>
      </c>
      <c r="F19" s="990">
        <v>0</v>
      </c>
      <c r="G19" s="970">
        <f>IF(D19=0,0,F19/D19)</f>
        <v>0</v>
      </c>
      <c r="H19" s="970">
        <f>IF(E19=0,0,F19/E19)</f>
        <v>0</v>
      </c>
    </row>
    <row r="20" spans="1:8" s="7" customFormat="1" ht="24" customHeight="1">
      <c r="A20" s="199"/>
      <c r="B20" s="972" t="s">
        <v>406</v>
      </c>
      <c r="C20" s="973">
        <v>0</v>
      </c>
      <c r="D20" s="495">
        <v>0</v>
      </c>
      <c r="E20" s="495">
        <v>0</v>
      </c>
      <c r="F20" s="461">
        <v>0</v>
      </c>
      <c r="G20" s="648">
        <f t="shared" si="1"/>
        <v>0</v>
      </c>
      <c r="H20" s="648">
        <f t="shared" si="0"/>
        <v>0</v>
      </c>
    </row>
    <row r="21" spans="1:8" s="7" customFormat="1" ht="12" customHeight="1">
      <c r="A21" s="199" t="s">
        <v>730</v>
      </c>
      <c r="B21" s="449" t="s">
        <v>185</v>
      </c>
      <c r="C21" s="958">
        <v>0</v>
      </c>
      <c r="D21" s="495">
        <v>0</v>
      </c>
      <c r="E21" s="495">
        <v>0</v>
      </c>
      <c r="F21" s="461">
        <v>0</v>
      </c>
      <c r="G21" s="648">
        <f t="shared" si="1"/>
        <v>0</v>
      </c>
      <c r="H21" s="648">
        <f t="shared" si="0"/>
        <v>0</v>
      </c>
    </row>
    <row r="22" spans="1:8" s="7" customFormat="1" ht="12" customHeight="1">
      <c r="A22" s="199" t="s">
        <v>731</v>
      </c>
      <c r="B22" s="449" t="s">
        <v>83</v>
      </c>
      <c r="C22" s="958">
        <v>0</v>
      </c>
      <c r="D22" s="495">
        <v>0</v>
      </c>
      <c r="E22" s="495">
        <v>0</v>
      </c>
      <c r="F22" s="461">
        <v>0</v>
      </c>
      <c r="G22" s="648">
        <f>IF(D22=0,0,F22/D22)</f>
        <v>0</v>
      </c>
      <c r="H22" s="648">
        <f>IF(E22=0,0,F22/E22)</f>
        <v>0</v>
      </c>
    </row>
    <row r="23" spans="1:8" s="536" customFormat="1" ht="13.5">
      <c r="A23" s="531" t="s">
        <v>805</v>
      </c>
      <c r="B23" s="532" t="s">
        <v>317</v>
      </c>
      <c r="C23" s="568">
        <f>SUM(C10,C11,C16,C17,C21,C22)</f>
        <v>55078</v>
      </c>
      <c r="D23" s="568">
        <f>SUM(D10,D11,D16,D17,D21,D22)</f>
        <v>57354</v>
      </c>
      <c r="E23" s="568">
        <f>SUM(E10,E11,E16,E17,E21,E22)</f>
        <v>59525</v>
      </c>
      <c r="F23" s="568">
        <f>SUM(F10,F11,F16,F17,F21,F22)</f>
        <v>59312</v>
      </c>
      <c r="G23" s="502">
        <f t="shared" si="1"/>
        <v>1.0341388569236671</v>
      </c>
      <c r="H23" s="502">
        <f t="shared" si="0"/>
        <v>0.9964216715665687</v>
      </c>
    </row>
    <row r="24" spans="1:8" s="7" customFormat="1" ht="12" customHeight="1">
      <c r="A24" s="199" t="s">
        <v>732</v>
      </c>
      <c r="B24" s="449" t="s">
        <v>200</v>
      </c>
      <c r="C24" s="958">
        <v>8596</v>
      </c>
      <c r="D24" s="495">
        <v>0</v>
      </c>
      <c r="E24" s="495">
        <v>3589</v>
      </c>
      <c r="F24" s="461">
        <v>0</v>
      </c>
      <c r="G24" s="648">
        <f t="shared" si="1"/>
        <v>0</v>
      </c>
      <c r="H24" s="648">
        <f t="shared" si="0"/>
        <v>0</v>
      </c>
    </row>
    <row r="25" spans="1:8" s="7" customFormat="1" ht="12" customHeight="1">
      <c r="A25" s="199" t="s">
        <v>733</v>
      </c>
      <c r="B25" s="449" t="s">
        <v>203</v>
      </c>
      <c r="C25" s="958">
        <v>1823</v>
      </c>
      <c r="D25" s="495">
        <v>0</v>
      </c>
      <c r="E25" s="495">
        <v>1909</v>
      </c>
      <c r="F25" s="461">
        <v>0</v>
      </c>
      <c r="G25" s="648">
        <f t="shared" si="1"/>
        <v>0</v>
      </c>
      <c r="H25" s="648">
        <f t="shared" si="0"/>
        <v>0</v>
      </c>
    </row>
    <row r="26" spans="1:8" s="6" customFormat="1" ht="30" customHeight="1">
      <c r="A26" s="198" t="s">
        <v>734</v>
      </c>
      <c r="B26" s="460" t="s">
        <v>196</v>
      </c>
      <c r="C26" s="955">
        <f>SUM(C28,C30)</f>
        <v>0</v>
      </c>
      <c r="D26" s="461">
        <f>SUM(D28,D30)</f>
        <v>0</v>
      </c>
      <c r="E26" s="461">
        <f>SUM(E28,E30)</f>
        <v>57</v>
      </c>
      <c r="F26" s="461">
        <f>SUM(F28,F30)</f>
        <v>0</v>
      </c>
      <c r="G26" s="547">
        <f t="shared" si="1"/>
        <v>0</v>
      </c>
      <c r="H26" s="547">
        <f t="shared" si="0"/>
        <v>0</v>
      </c>
    </row>
    <row r="27" spans="1:8" s="7" customFormat="1" ht="12" customHeight="1" hidden="1">
      <c r="A27" s="199"/>
      <c r="B27" s="446"/>
      <c r="C27" s="963"/>
      <c r="D27" s="461"/>
      <c r="E27" s="461"/>
      <c r="F27" s="461"/>
      <c r="G27" s="648">
        <f t="shared" si="1"/>
        <v>0</v>
      </c>
      <c r="H27" s="648">
        <f t="shared" si="0"/>
        <v>0</v>
      </c>
    </row>
    <row r="28" spans="1:8" s="7" customFormat="1" ht="12.75" customHeight="1">
      <c r="A28" s="583"/>
      <c r="B28" s="965" t="s">
        <v>407</v>
      </c>
      <c r="C28" s="966">
        <v>0</v>
      </c>
      <c r="D28" s="496">
        <v>0</v>
      </c>
      <c r="E28" s="496">
        <v>57</v>
      </c>
      <c r="F28" s="580">
        <v>0</v>
      </c>
      <c r="G28" s="517">
        <f t="shared" si="1"/>
        <v>0</v>
      </c>
      <c r="H28" s="517">
        <f t="shared" si="0"/>
        <v>0</v>
      </c>
    </row>
    <row r="29" spans="1:8" s="7" customFormat="1" ht="12.75" customHeight="1">
      <c r="A29" s="581"/>
      <c r="B29" s="968" t="s">
        <v>447</v>
      </c>
      <c r="C29" s="969">
        <v>0</v>
      </c>
      <c r="D29" s="497">
        <v>0</v>
      </c>
      <c r="E29" s="497">
        <v>57</v>
      </c>
      <c r="F29" s="990">
        <v>0</v>
      </c>
      <c r="G29" s="970">
        <f>IF(D29=0,0,F29/D29)</f>
        <v>0</v>
      </c>
      <c r="H29" s="970">
        <f>IF(E29=0,0,F29/E29)</f>
        <v>0</v>
      </c>
    </row>
    <row r="30" spans="1:8" s="7" customFormat="1" ht="24" customHeight="1">
      <c r="A30" s="199"/>
      <c r="B30" s="972" t="s">
        <v>408</v>
      </c>
      <c r="C30" s="973">
        <v>0</v>
      </c>
      <c r="D30" s="495">
        <v>0</v>
      </c>
      <c r="E30" s="495">
        <v>0</v>
      </c>
      <c r="F30" s="461">
        <v>0</v>
      </c>
      <c r="G30" s="648">
        <f t="shared" si="1"/>
        <v>0</v>
      </c>
      <c r="H30" s="648">
        <f t="shared" si="0"/>
        <v>0</v>
      </c>
    </row>
    <row r="31" spans="1:8" s="533" customFormat="1" ht="12" customHeight="1">
      <c r="A31" s="531" t="s">
        <v>327</v>
      </c>
      <c r="B31" s="532" t="s">
        <v>318</v>
      </c>
      <c r="C31" s="956">
        <f>SUM(C24,C25,C26)</f>
        <v>10419</v>
      </c>
      <c r="D31" s="494">
        <f>SUM(D24,D25,D26)</f>
        <v>0</v>
      </c>
      <c r="E31" s="494">
        <f>SUM(E24,E25,E26)</f>
        <v>5555</v>
      </c>
      <c r="F31" s="494">
        <f>SUM(F24,F25,F26)</f>
        <v>0</v>
      </c>
      <c r="G31" s="502">
        <f t="shared" si="1"/>
        <v>0</v>
      </c>
      <c r="H31" s="502">
        <f t="shared" si="0"/>
        <v>0</v>
      </c>
    </row>
    <row r="32" spans="1:8" s="533" customFormat="1" ht="13.5" customHeight="1">
      <c r="A32" s="531"/>
      <c r="B32" s="532" t="s">
        <v>756</v>
      </c>
      <c r="C32" s="956">
        <f>SUM(C23,C24:C26)</f>
        <v>65497</v>
      </c>
      <c r="D32" s="494">
        <f>SUM(D23,D24:D26)</f>
        <v>57354</v>
      </c>
      <c r="E32" s="494">
        <f>SUM(E23,E24:E26)</f>
        <v>65080</v>
      </c>
      <c r="F32" s="494">
        <f>SUM(F23,F24:F26)</f>
        <v>59312</v>
      </c>
      <c r="G32" s="502">
        <f t="shared" si="1"/>
        <v>1.0341388569236671</v>
      </c>
      <c r="H32" s="502">
        <f t="shared" si="0"/>
        <v>0.9113706207744314</v>
      </c>
    </row>
    <row r="33" spans="1:8" s="533" customFormat="1" ht="12" customHeight="1">
      <c r="A33" s="531"/>
      <c r="B33" s="974" t="s">
        <v>319</v>
      </c>
      <c r="C33" s="975"/>
      <c r="D33" s="461"/>
      <c r="E33" s="461"/>
      <c r="F33" s="461"/>
      <c r="G33" s="648"/>
      <c r="H33" s="648"/>
    </row>
    <row r="34" spans="1:8" s="533" customFormat="1" ht="12" customHeight="1">
      <c r="A34" s="199" t="s">
        <v>524</v>
      </c>
      <c r="B34" s="976" t="s">
        <v>400</v>
      </c>
      <c r="C34" s="977">
        <v>0</v>
      </c>
      <c r="D34" s="495">
        <v>0</v>
      </c>
      <c r="E34" s="495">
        <v>0</v>
      </c>
      <c r="F34" s="461">
        <v>0</v>
      </c>
      <c r="G34" s="517">
        <f t="shared" si="1"/>
        <v>0</v>
      </c>
      <c r="H34" s="517">
        <f t="shared" si="0"/>
        <v>0</v>
      </c>
    </row>
    <row r="35" spans="1:8" s="533" customFormat="1" ht="24" customHeight="1">
      <c r="A35" s="583" t="s">
        <v>525</v>
      </c>
      <c r="B35" s="978" t="s">
        <v>791</v>
      </c>
      <c r="C35" s="979">
        <v>17411</v>
      </c>
      <c r="D35" s="496">
        <v>17095</v>
      </c>
      <c r="E35" s="496">
        <v>18577</v>
      </c>
      <c r="F35" s="1202">
        <v>16619</v>
      </c>
      <c r="G35" s="517">
        <f t="shared" si="1"/>
        <v>0.9721556010529394</v>
      </c>
      <c r="H35" s="517">
        <f t="shared" si="0"/>
        <v>0.8946008505140766</v>
      </c>
    </row>
    <row r="36" spans="1:8" s="533" customFormat="1" ht="12" customHeight="1">
      <c r="A36" s="581"/>
      <c r="B36" s="980" t="s">
        <v>396</v>
      </c>
      <c r="C36" s="981">
        <v>0</v>
      </c>
      <c r="D36" s="497">
        <v>0</v>
      </c>
      <c r="E36" s="497">
        <v>0</v>
      </c>
      <c r="F36" s="1203">
        <v>0</v>
      </c>
      <c r="G36" s="970">
        <f>IF(D36=0,0,F36/D36)</f>
        <v>0</v>
      </c>
      <c r="H36" s="970">
        <f>IF(E36=0,0,F36/E36)</f>
        <v>0</v>
      </c>
    </row>
    <row r="37" spans="1:8" s="533" customFormat="1" ht="12" customHeight="1">
      <c r="A37" s="199" t="s">
        <v>526</v>
      </c>
      <c r="B37" s="36" t="s">
        <v>726</v>
      </c>
      <c r="C37" s="498">
        <v>151</v>
      </c>
      <c r="D37" s="495">
        <v>155</v>
      </c>
      <c r="E37" s="495">
        <v>277</v>
      </c>
      <c r="F37" s="461">
        <v>274</v>
      </c>
      <c r="G37" s="970">
        <f t="shared" si="1"/>
        <v>1.767741935483871</v>
      </c>
      <c r="H37" s="970">
        <f t="shared" si="0"/>
        <v>0.9891696750902527</v>
      </c>
    </row>
    <row r="38" spans="1:8" s="533" customFormat="1" ht="12" customHeight="1">
      <c r="A38" s="199" t="s">
        <v>729</v>
      </c>
      <c r="B38" s="449" t="s">
        <v>607</v>
      </c>
      <c r="C38" s="498">
        <v>8</v>
      </c>
      <c r="D38" s="495">
        <v>8</v>
      </c>
      <c r="E38" s="495">
        <v>9</v>
      </c>
      <c r="F38" s="461">
        <v>8</v>
      </c>
      <c r="G38" s="648">
        <f t="shared" si="1"/>
        <v>1</v>
      </c>
      <c r="H38" s="648">
        <f t="shared" si="0"/>
        <v>0.8888888888888888</v>
      </c>
    </row>
    <row r="39" spans="1:8" s="533" customFormat="1" ht="12" customHeight="1">
      <c r="A39" s="199" t="s">
        <v>730</v>
      </c>
      <c r="B39" s="449" t="s">
        <v>349</v>
      </c>
      <c r="C39" s="499">
        <v>954</v>
      </c>
      <c r="D39" s="495">
        <v>909</v>
      </c>
      <c r="E39" s="495">
        <v>1201</v>
      </c>
      <c r="F39" s="461">
        <v>1212</v>
      </c>
      <c r="G39" s="648">
        <f t="shared" si="1"/>
        <v>1.3333333333333333</v>
      </c>
      <c r="H39" s="648">
        <f t="shared" si="0"/>
        <v>1.0091590341382182</v>
      </c>
    </row>
    <row r="40" spans="1:8" s="533" customFormat="1" ht="25.5" customHeight="1">
      <c r="A40" s="583" t="s">
        <v>731</v>
      </c>
      <c r="B40" s="982" t="s">
        <v>192</v>
      </c>
      <c r="C40" s="983">
        <v>2587</v>
      </c>
      <c r="D40" s="496">
        <v>0</v>
      </c>
      <c r="E40" s="496">
        <v>3504</v>
      </c>
      <c r="F40" s="580">
        <v>0</v>
      </c>
      <c r="G40" s="517">
        <f t="shared" si="1"/>
        <v>0</v>
      </c>
      <c r="H40" s="517">
        <f t="shared" si="0"/>
        <v>0</v>
      </c>
    </row>
    <row r="41" spans="1:8" s="533" customFormat="1" ht="12" customHeight="1">
      <c r="A41" s="581"/>
      <c r="B41" s="968" t="s">
        <v>447</v>
      </c>
      <c r="C41" s="981">
        <v>0</v>
      </c>
      <c r="D41" s="497">
        <v>0</v>
      </c>
      <c r="E41" s="497">
        <v>3479</v>
      </c>
      <c r="F41" s="990">
        <v>0</v>
      </c>
      <c r="G41" s="970">
        <v>0</v>
      </c>
      <c r="H41" s="970">
        <f>IF(E41=0,0,F41/E41)</f>
        <v>0</v>
      </c>
    </row>
    <row r="42" spans="1:8" s="533" customFormat="1" ht="23.25" customHeight="1">
      <c r="A42" s="199" t="s">
        <v>732</v>
      </c>
      <c r="B42" s="984" t="s">
        <v>625</v>
      </c>
      <c r="C42" s="985">
        <v>86</v>
      </c>
      <c r="D42" s="495">
        <v>0</v>
      </c>
      <c r="E42" s="495">
        <v>65</v>
      </c>
      <c r="F42" s="580">
        <v>0</v>
      </c>
      <c r="G42" s="648">
        <f t="shared" si="1"/>
        <v>0</v>
      </c>
      <c r="H42" s="648">
        <f t="shared" si="0"/>
        <v>0</v>
      </c>
    </row>
    <row r="43" spans="1:8" s="533" customFormat="1" ht="12" customHeight="1">
      <c r="A43" s="583" t="s">
        <v>733</v>
      </c>
      <c r="B43" s="982" t="s">
        <v>194</v>
      </c>
      <c r="C43" s="983">
        <v>0</v>
      </c>
      <c r="D43" s="496">
        <v>0</v>
      </c>
      <c r="E43" s="496">
        <v>57</v>
      </c>
      <c r="F43" s="580">
        <v>0</v>
      </c>
      <c r="G43" s="517">
        <f t="shared" si="1"/>
        <v>0</v>
      </c>
      <c r="H43" s="517">
        <f t="shared" si="0"/>
        <v>0</v>
      </c>
    </row>
    <row r="44" spans="1:8" s="533" customFormat="1" ht="11.25" customHeight="1">
      <c r="A44" s="581"/>
      <c r="B44" s="968" t="s">
        <v>447</v>
      </c>
      <c r="C44" s="981">
        <v>0</v>
      </c>
      <c r="D44" s="497"/>
      <c r="E44" s="497">
        <v>57</v>
      </c>
      <c r="F44" s="990">
        <v>0</v>
      </c>
      <c r="G44" s="970">
        <f>IF(D44=0,0,F44/D44)</f>
        <v>0</v>
      </c>
      <c r="H44" s="970">
        <f>IF(E44=0,0,F44/E44)</f>
        <v>0</v>
      </c>
    </row>
    <row r="45" spans="1:8" s="533" customFormat="1" ht="24" customHeight="1">
      <c r="A45" s="199" t="s">
        <v>734</v>
      </c>
      <c r="B45" s="984" t="s">
        <v>418</v>
      </c>
      <c r="C45" s="986">
        <v>0</v>
      </c>
      <c r="D45" s="495">
        <v>0</v>
      </c>
      <c r="E45" s="495">
        <v>0</v>
      </c>
      <c r="F45" s="990">
        <v>0</v>
      </c>
      <c r="G45" s="648">
        <f t="shared" si="1"/>
        <v>0</v>
      </c>
      <c r="H45" s="648">
        <f t="shared" si="0"/>
        <v>0</v>
      </c>
    </row>
    <row r="46" spans="1:8" s="533" customFormat="1" ht="12" customHeight="1">
      <c r="A46" s="199" t="s">
        <v>735</v>
      </c>
      <c r="B46" s="449" t="s">
        <v>311</v>
      </c>
      <c r="C46" s="498">
        <v>0</v>
      </c>
      <c r="D46" s="495">
        <v>0</v>
      </c>
      <c r="E46" s="495">
        <v>0</v>
      </c>
      <c r="F46" s="461">
        <v>0</v>
      </c>
      <c r="G46" s="648">
        <f t="shared" si="1"/>
        <v>0</v>
      </c>
      <c r="H46" s="648">
        <f t="shared" si="0"/>
        <v>0</v>
      </c>
    </row>
    <row r="47" spans="1:8" s="533" customFormat="1" ht="12" customHeight="1">
      <c r="A47" s="199" t="s">
        <v>736</v>
      </c>
      <c r="B47" s="449" t="s">
        <v>312</v>
      </c>
      <c r="C47" s="498">
        <v>2811</v>
      </c>
      <c r="D47" s="495">
        <v>0</v>
      </c>
      <c r="E47" s="495">
        <v>4577</v>
      </c>
      <c r="F47" s="461">
        <v>0</v>
      </c>
      <c r="G47" s="648">
        <f t="shared" si="1"/>
        <v>0</v>
      </c>
      <c r="H47" s="648">
        <f t="shared" si="0"/>
        <v>0</v>
      </c>
    </row>
    <row r="48" spans="1:8" s="533" customFormat="1" ht="12" customHeight="1">
      <c r="A48" s="531"/>
      <c r="B48" s="532" t="s">
        <v>768</v>
      </c>
      <c r="C48" s="494">
        <f>SUM(C34:C47)-C36-C41-C44</f>
        <v>24008</v>
      </c>
      <c r="D48" s="494">
        <f>SUM(D34:D47)-D36</f>
        <v>18167</v>
      </c>
      <c r="E48" s="494">
        <f>SUM(E34:E47)-E36-E41-E44</f>
        <v>28267</v>
      </c>
      <c r="F48" s="494">
        <f>SUM(F34:F47)-F36-F41-F44</f>
        <v>18113</v>
      </c>
      <c r="G48" s="502">
        <f t="shared" si="1"/>
        <v>0.9970275774756426</v>
      </c>
      <c r="H48" s="502">
        <f t="shared" si="0"/>
        <v>0.6407825379417695</v>
      </c>
    </row>
    <row r="49" spans="1:8" s="536" customFormat="1" ht="13.5">
      <c r="A49" s="537" t="s">
        <v>737</v>
      </c>
      <c r="B49" s="532" t="s">
        <v>351</v>
      </c>
      <c r="C49" s="397">
        <v>45117</v>
      </c>
      <c r="D49" s="494">
        <v>39187</v>
      </c>
      <c r="E49" s="494">
        <v>41174</v>
      </c>
      <c r="F49" s="494">
        <v>41199</v>
      </c>
      <c r="G49" s="502">
        <f t="shared" si="1"/>
        <v>1.0513435578125399</v>
      </c>
      <c r="H49" s="502">
        <f t="shared" si="0"/>
        <v>1.0006071792879</v>
      </c>
    </row>
    <row r="50" spans="1:8" s="536" customFormat="1" ht="12" customHeight="1">
      <c r="A50" s="346"/>
      <c r="B50" s="987" t="s">
        <v>197</v>
      </c>
      <c r="C50" s="947">
        <v>0</v>
      </c>
      <c r="D50" s="451">
        <v>26521</v>
      </c>
      <c r="E50" s="451">
        <v>26521</v>
      </c>
      <c r="F50" s="992">
        <v>25584</v>
      </c>
      <c r="G50" s="648">
        <f t="shared" si="1"/>
        <v>0.964669507182987</v>
      </c>
      <c r="H50" s="648">
        <f t="shared" si="0"/>
        <v>0.964669507182987</v>
      </c>
    </row>
    <row r="51" spans="1:8" s="536" customFormat="1" ht="10.5" customHeight="1">
      <c r="A51" s="346"/>
      <c r="B51" s="565" t="s">
        <v>398</v>
      </c>
      <c r="C51" s="948">
        <v>0</v>
      </c>
      <c r="D51" s="451">
        <v>0</v>
      </c>
      <c r="E51" s="451">
        <v>0</v>
      </c>
      <c r="F51" s="992">
        <v>0</v>
      </c>
      <c r="G51" s="648">
        <f t="shared" si="1"/>
        <v>0</v>
      </c>
      <c r="H51" s="648">
        <f t="shared" si="0"/>
        <v>0</v>
      </c>
    </row>
    <row r="52" spans="1:8" s="536" customFormat="1" ht="13.5" customHeight="1">
      <c r="A52" s="566"/>
      <c r="B52" s="567" t="s">
        <v>749</v>
      </c>
      <c r="C52" s="793">
        <f>SUM(C48,C49)</f>
        <v>69125</v>
      </c>
      <c r="D52" s="568">
        <f>SUM(D48:D49)</f>
        <v>57354</v>
      </c>
      <c r="E52" s="568">
        <f>SUM(E48:E49)</f>
        <v>69441</v>
      </c>
      <c r="F52" s="568">
        <f>SUM(F48:F49)</f>
        <v>59312</v>
      </c>
      <c r="G52" s="993">
        <f>IF(D52=0,0,F52/D52)</f>
        <v>1.0341388569236671</v>
      </c>
      <c r="H52" s="993">
        <f>IF(E52=0,0,F52/E52)</f>
        <v>0.8541351651041892</v>
      </c>
    </row>
    <row r="53" spans="6:9" ht="15.75">
      <c r="F53" s="546"/>
      <c r="G53" s="509"/>
      <c r="H53" s="509"/>
      <c r="I53" s="8"/>
    </row>
  </sheetData>
  <sheetProtection password="CC08"/>
  <mergeCells count="4">
    <mergeCell ref="A1:H1"/>
    <mergeCell ref="A2:H2"/>
    <mergeCell ref="A3:H3"/>
    <mergeCell ref="A4:H4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CE,Normál"3/h. számú melléklet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77">
      <selection activeCell="A88" sqref="A88"/>
    </sheetView>
  </sheetViews>
  <sheetFormatPr defaultColWidth="9.140625" defaultRowHeight="12.75"/>
  <cols>
    <col min="1" max="1" width="4.140625" style="41" customWidth="1"/>
    <col min="2" max="2" width="38.8515625" style="40" customWidth="1"/>
    <col min="3" max="3" width="9.8515625" style="40" customWidth="1"/>
    <col min="4" max="4" width="10.57421875" style="147" customWidth="1"/>
    <col min="5" max="5" width="10.00390625" style="147" customWidth="1"/>
    <col min="6" max="6" width="10.140625" style="525" customWidth="1"/>
    <col min="7" max="7" width="8.421875" style="148" customWidth="1"/>
    <col min="8" max="8" width="8.8515625" style="147" customWidth="1"/>
    <col min="9" max="16384" width="9.140625" style="51" customWidth="1"/>
  </cols>
  <sheetData>
    <row r="1" spans="1:8" ht="15.75">
      <c r="A1" s="1342" t="s">
        <v>426</v>
      </c>
      <c r="B1" s="1343"/>
      <c r="C1" s="1343"/>
      <c r="D1" s="1343"/>
      <c r="E1" s="1343"/>
      <c r="F1" s="1343"/>
      <c r="G1" s="1343"/>
      <c r="H1" s="1343"/>
    </row>
    <row r="2" spans="1:8" s="2" customFormat="1" ht="15.75">
      <c r="A2" s="794" t="s">
        <v>764</v>
      </c>
      <c r="B2" s="729"/>
      <c r="C2" s="729"/>
      <c r="D2" s="146"/>
      <c r="E2" s="146"/>
      <c r="F2" s="730"/>
      <c r="G2" s="731"/>
      <c r="H2" s="146"/>
    </row>
    <row r="3" spans="1:8" ht="15.75">
      <c r="A3" s="26" t="s">
        <v>903</v>
      </c>
      <c r="B3" s="689"/>
      <c r="C3" s="689"/>
      <c r="D3" s="726"/>
      <c r="E3" s="726"/>
      <c r="F3" s="727"/>
      <c r="G3" s="728"/>
      <c r="H3" s="145"/>
    </row>
    <row r="4" ht="12.75">
      <c r="H4" s="341" t="s">
        <v>128</v>
      </c>
    </row>
    <row r="5" spans="1:8" s="378" customFormat="1" ht="36" customHeight="1">
      <c r="A5" s="1229" t="s">
        <v>552</v>
      </c>
      <c r="B5" s="656" t="s">
        <v>129</v>
      </c>
      <c r="C5" s="725" t="s">
        <v>257</v>
      </c>
      <c r="D5" s="563" t="s">
        <v>911</v>
      </c>
      <c r="E5" s="563" t="s">
        <v>258</v>
      </c>
      <c r="F5" s="988" t="s">
        <v>249</v>
      </c>
      <c r="G5" s="723" t="s">
        <v>259</v>
      </c>
      <c r="H5" s="723" t="s">
        <v>259</v>
      </c>
    </row>
    <row r="6" spans="1:8" ht="12.75" customHeight="1">
      <c r="A6" s="31" t="s">
        <v>524</v>
      </c>
      <c r="B6" s="32" t="s">
        <v>525</v>
      </c>
      <c r="C6" s="32" t="s">
        <v>526</v>
      </c>
      <c r="D6" s="32" t="s">
        <v>729</v>
      </c>
      <c r="E6" s="32" t="s">
        <v>730</v>
      </c>
      <c r="F6" s="1024" t="s">
        <v>731</v>
      </c>
      <c r="G6" s="724" t="s">
        <v>250</v>
      </c>
      <c r="H6" s="724" t="s">
        <v>251</v>
      </c>
    </row>
    <row r="7" spans="1:8" s="1" customFormat="1" ht="12.75" customHeight="1">
      <c r="A7" s="732"/>
      <c r="B7" s="733" t="s">
        <v>739</v>
      </c>
      <c r="C7" s="734">
        <v>230</v>
      </c>
      <c r="D7" s="734">
        <v>234</v>
      </c>
      <c r="E7" s="734">
        <v>226</v>
      </c>
      <c r="F7" s="735">
        <v>223</v>
      </c>
      <c r="G7" s="736"/>
      <c r="H7" s="737"/>
    </row>
    <row r="8" spans="1:8" s="2" customFormat="1" ht="12.75" customHeight="1">
      <c r="A8" s="738"/>
      <c r="B8" s="348" t="s">
        <v>459</v>
      </c>
      <c r="C8" s="739"/>
      <c r="D8" s="739"/>
      <c r="E8" s="739"/>
      <c r="F8" s="740"/>
      <c r="G8" s="739"/>
      <c r="H8" s="741"/>
    </row>
    <row r="9" spans="1:8" s="1" customFormat="1" ht="12.75">
      <c r="A9" s="45" t="s">
        <v>524</v>
      </c>
      <c r="B9" s="39" t="s">
        <v>460</v>
      </c>
      <c r="C9" s="742">
        <f>SUM('4a.számú melléklet'!G187)</f>
        <v>860539</v>
      </c>
      <c r="D9" s="742">
        <f>SUM('4a.számú melléklet'!H187)</f>
        <v>918268</v>
      </c>
      <c r="E9" s="742">
        <f>SUM('4a.számú melléklet'!I187)</f>
        <v>989116</v>
      </c>
      <c r="F9" s="642">
        <f>SUM('4a.számú melléklet'!J187)</f>
        <v>872096</v>
      </c>
      <c r="G9" s="143">
        <f>IF(D9=0,0,F9/D9)</f>
        <v>0.9497183828686179</v>
      </c>
      <c r="H9" s="143">
        <f>IF(E9=0,0,F9/E9)</f>
        <v>0.881692339422272</v>
      </c>
    </row>
    <row r="10" spans="1:8" s="1" customFormat="1" ht="12.75" customHeight="1">
      <c r="A10" s="45" t="s">
        <v>525</v>
      </c>
      <c r="B10" s="39" t="s">
        <v>461</v>
      </c>
      <c r="C10" s="742">
        <f>SUM('4a.számú melléklet'!G189)</f>
        <v>279092</v>
      </c>
      <c r="D10" s="742">
        <f>SUM('4a.számú melléklet'!H189)</f>
        <v>292269</v>
      </c>
      <c r="E10" s="742">
        <f>SUM('4a.számú melléklet'!I189)</f>
        <v>314011</v>
      </c>
      <c r="F10" s="642">
        <f>SUM('4a.számú melléklet'!J189)</f>
        <v>282144</v>
      </c>
      <c r="G10" s="143">
        <f aca="true" t="shared" si="0" ref="G10:G55">IF(D10=0,0,F10/D10)</f>
        <v>0.9653572565000051</v>
      </c>
      <c r="H10" s="143">
        <f aca="true" t="shared" si="1" ref="H10:H55">IF(E10=0,0,F10/E10)</f>
        <v>0.8985162940151779</v>
      </c>
    </row>
    <row r="11" spans="1:8" s="1" customFormat="1" ht="12.75">
      <c r="A11" s="45" t="s">
        <v>526</v>
      </c>
      <c r="B11" s="39" t="s">
        <v>462</v>
      </c>
      <c r="C11" s="742">
        <f>SUM('4a.számú melléklet'!G196)</f>
        <v>2258014</v>
      </c>
      <c r="D11" s="742">
        <f>SUM('4a.számú melléklet'!H196)</f>
        <v>2253266</v>
      </c>
      <c r="E11" s="742">
        <f>SUM('4a.számú melléklet'!I196)</f>
        <v>4505474</v>
      </c>
      <c r="F11" s="642">
        <f>SUM('4a.számú melléklet'!J196)</f>
        <v>2520746</v>
      </c>
      <c r="G11" s="143">
        <f t="shared" si="0"/>
        <v>1.1187076891942629</v>
      </c>
      <c r="H11" s="143">
        <f t="shared" si="1"/>
        <v>0.5594851951204246</v>
      </c>
    </row>
    <row r="12" spans="1:8" s="1" customFormat="1" ht="12.75">
      <c r="A12" s="45" t="s">
        <v>729</v>
      </c>
      <c r="B12" s="743" t="s">
        <v>405</v>
      </c>
      <c r="C12" s="744">
        <f>SUM('4a.számú melléklet'!G197)</f>
        <v>47877</v>
      </c>
      <c r="D12" s="744">
        <f>SUM('4a.számú melléklet'!H197)</f>
        <v>58500</v>
      </c>
      <c r="E12" s="745">
        <f>SUM('4a.számú melléklet'!I197)</f>
        <v>467215</v>
      </c>
      <c r="F12" s="746">
        <f>SUM('4a.számú melléklet'!J197)</f>
        <v>106920</v>
      </c>
      <c r="G12" s="747">
        <f t="shared" si="0"/>
        <v>1.8276923076923077</v>
      </c>
      <c r="H12" s="143">
        <f t="shared" si="1"/>
        <v>0.22884539237824128</v>
      </c>
    </row>
    <row r="13" spans="1:8" ht="12.75">
      <c r="A13" s="112"/>
      <c r="B13" s="798" t="s">
        <v>180</v>
      </c>
      <c r="C13" s="748">
        <f>SUM('4a.számú melléklet'!G198)</f>
        <v>47877</v>
      </c>
      <c r="D13" s="748">
        <f>SUM('4a.számú melléklet'!H198)</f>
        <v>58500</v>
      </c>
      <c r="E13" s="748">
        <f>SUM('4a.számú melléklet'!I198)</f>
        <v>467215</v>
      </c>
      <c r="F13" s="746">
        <f>SUM('4a.számú melléklet'!J198)</f>
        <v>106920</v>
      </c>
      <c r="G13" s="750">
        <f t="shared" si="0"/>
        <v>1.8276923076923077</v>
      </c>
      <c r="H13" s="751">
        <f t="shared" si="1"/>
        <v>0.22884539237824128</v>
      </c>
    </row>
    <row r="14" spans="1:8" ht="12.75">
      <c r="A14" s="629"/>
      <c r="B14" s="585" t="s">
        <v>447</v>
      </c>
      <c r="C14" s="752">
        <f>SUM('4a.számú melléklet'!G199)</f>
        <v>0</v>
      </c>
      <c r="D14" s="752">
        <f>SUM('4a.számú melléklet'!H199)</f>
        <v>0</v>
      </c>
      <c r="E14" s="752">
        <f>SUM('4a.számú melléklet'!I199)</f>
        <v>402821</v>
      </c>
      <c r="F14" s="1227">
        <f>SUM('4a.számú melléklet'!J199)</f>
        <v>0</v>
      </c>
      <c r="G14" s="754">
        <f>IF(D14=0,0,F14/D14)</f>
        <v>0</v>
      </c>
      <c r="H14" s="755">
        <f>IF(E14=0,0,F14/E14)</f>
        <v>0</v>
      </c>
    </row>
    <row r="15" spans="1:8" s="1" customFormat="1" ht="12.75" customHeight="1">
      <c r="A15" s="45" t="s">
        <v>730</v>
      </c>
      <c r="B15" s="39" t="s">
        <v>346</v>
      </c>
      <c r="C15" s="756">
        <f>SUM('4a.számú melléklet'!G200)</f>
        <v>301991</v>
      </c>
      <c r="D15" s="756">
        <f>SUM('4a.számú melléklet'!H200)</f>
        <v>372119</v>
      </c>
      <c r="E15" s="742">
        <f>SUM('4a.számú melléklet'!I200)</f>
        <v>376300</v>
      </c>
      <c r="F15" s="642">
        <f>SUM('4a.számú melléklet'!J200)</f>
        <v>347380</v>
      </c>
      <c r="G15" s="143">
        <f t="shared" si="0"/>
        <v>0.9335185787342222</v>
      </c>
      <c r="H15" s="143">
        <f t="shared" si="1"/>
        <v>0.9231464257241563</v>
      </c>
    </row>
    <row r="16" spans="1:8" ht="12.75" customHeight="1">
      <c r="A16" s="42"/>
      <c r="B16" s="757" t="s">
        <v>178</v>
      </c>
      <c r="C16" s="150">
        <f>SUM('4a.számú melléklet'!G201)</f>
        <v>138697</v>
      </c>
      <c r="D16" s="150">
        <f>SUM('4a.számú melléklet'!H201)</f>
        <v>124670</v>
      </c>
      <c r="E16" s="150">
        <f>SUM('4a.számú melléklet'!I201)</f>
        <v>145969</v>
      </c>
      <c r="F16" s="642">
        <f>SUM('4a.számú melléklet'!J201)</f>
        <v>72285</v>
      </c>
      <c r="G16" s="758">
        <f t="shared" si="0"/>
        <v>0.5798107002486564</v>
      </c>
      <c r="H16" s="758">
        <f t="shared" si="1"/>
        <v>0.4952078866060602</v>
      </c>
    </row>
    <row r="17" spans="1:8" ht="12.75" customHeight="1">
      <c r="A17" s="42"/>
      <c r="B17" s="757" t="s">
        <v>183</v>
      </c>
      <c r="C17" s="150">
        <f>SUM('4a.számú melléklet'!G202)</f>
        <v>163044</v>
      </c>
      <c r="D17" s="150">
        <f>SUM('4a.számú melléklet'!H202)</f>
        <v>247354</v>
      </c>
      <c r="E17" s="150">
        <f>SUM('4a.számú melléklet'!I202)</f>
        <v>230231</v>
      </c>
      <c r="F17" s="642">
        <f>SUM('4a.számú melléklet'!J202)</f>
        <v>275095</v>
      </c>
      <c r="G17" s="758">
        <f t="shared" si="0"/>
        <v>1.1121510062501516</v>
      </c>
      <c r="H17" s="758">
        <f t="shared" si="1"/>
        <v>1.1948651571682354</v>
      </c>
    </row>
    <row r="18" spans="1:8" ht="12.75" customHeight="1">
      <c r="A18" s="42"/>
      <c r="B18" s="759" t="s">
        <v>179</v>
      </c>
      <c r="C18" s="150">
        <f>SUM('4a.számú melléklet'!G203)</f>
        <v>250</v>
      </c>
      <c r="D18" s="150">
        <f>SUM('4a.számú melléklet'!H203)</f>
        <v>95</v>
      </c>
      <c r="E18" s="150">
        <f>SUM('4a.számú melléklet'!I203)</f>
        <v>0</v>
      </c>
      <c r="F18" s="642">
        <f>SUM('4a.számú melléklet'!J203)</f>
        <v>0</v>
      </c>
      <c r="G18" s="758">
        <f t="shared" si="0"/>
        <v>0</v>
      </c>
      <c r="H18" s="758">
        <f t="shared" si="1"/>
        <v>0</v>
      </c>
    </row>
    <row r="19" spans="1:8" s="1" customFormat="1" ht="12.75">
      <c r="A19" s="45" t="s">
        <v>731</v>
      </c>
      <c r="B19" s="39" t="s">
        <v>725</v>
      </c>
      <c r="C19" s="742">
        <f>SUM('4a.számú melléklet'!G205)</f>
        <v>535861</v>
      </c>
      <c r="D19" s="742">
        <f>SUM('4a.számú melléklet'!H205)</f>
        <v>566495</v>
      </c>
      <c r="E19" s="742">
        <f>SUM('4a.számú melléklet'!I205)</f>
        <v>506216</v>
      </c>
      <c r="F19" s="642">
        <f>SUM('4a.számú melléklet'!J205)</f>
        <v>527056</v>
      </c>
      <c r="G19" s="143">
        <f t="shared" si="0"/>
        <v>0.9303806741454028</v>
      </c>
      <c r="H19" s="143">
        <f t="shared" si="1"/>
        <v>1.0411681969752042</v>
      </c>
    </row>
    <row r="20" spans="1:8" s="1" customFormat="1" ht="12.75">
      <c r="A20" s="45" t="s">
        <v>732</v>
      </c>
      <c r="B20" s="39" t="s">
        <v>83</v>
      </c>
      <c r="C20" s="742">
        <f>SUM('4a.számú melléklet'!G206)</f>
        <v>0</v>
      </c>
      <c r="D20" s="742">
        <f>SUM('4a.számú melléklet'!H206)</f>
        <v>0</v>
      </c>
      <c r="E20" s="742">
        <f>SUM('4a.számú melléklet'!I206)</f>
        <v>0</v>
      </c>
      <c r="F20" s="642">
        <f>SUM('4a.számú melléklet'!J206)</f>
        <v>29515</v>
      </c>
      <c r="G20" s="143">
        <f>IF(D20=0,0,F20/D20)</f>
        <v>0</v>
      </c>
      <c r="H20" s="143">
        <f>IF(E20=0,0,F20/E20)</f>
        <v>0</v>
      </c>
    </row>
    <row r="21" spans="1:8" s="2" customFormat="1" ht="13.5">
      <c r="A21" s="113" t="s">
        <v>805</v>
      </c>
      <c r="B21" s="114" t="s">
        <v>886</v>
      </c>
      <c r="C21" s="760">
        <f>SUM(C9,C10,C11,C12,C15,C19,C20)</f>
        <v>4283374</v>
      </c>
      <c r="D21" s="760">
        <f>SUM(D9,D10,D11,D12,D15,D19,D20)</f>
        <v>4460917</v>
      </c>
      <c r="E21" s="760">
        <f>SUM(E9,E10,E11,E12,E15,E19,E20)</f>
        <v>7158332</v>
      </c>
      <c r="F21" s="760">
        <f>SUM(F9,F10,F11,F12,F15,F19,F20)</f>
        <v>4685857</v>
      </c>
      <c r="G21" s="144">
        <f t="shared" si="0"/>
        <v>1.0504246100073147</v>
      </c>
      <c r="H21" s="144">
        <f t="shared" si="1"/>
        <v>0.6546017982960276</v>
      </c>
    </row>
    <row r="22" spans="1:8" s="1" customFormat="1" ht="12.75">
      <c r="A22" s="42"/>
      <c r="B22" s="38" t="s">
        <v>200</v>
      </c>
      <c r="C22" s="150">
        <f>SUM('4a.számú melléklet'!G207)</f>
        <v>8255</v>
      </c>
      <c r="D22" s="150">
        <f>SUM('4a.számú melléklet'!H207)</f>
        <v>2000</v>
      </c>
      <c r="E22" s="150">
        <f>SUM('4a.számú melléklet'!I207)</f>
        <v>12224</v>
      </c>
      <c r="F22" s="642">
        <f>SUM('4a.számú melléklet'!J207)</f>
        <v>0</v>
      </c>
      <c r="G22" s="758">
        <f t="shared" si="0"/>
        <v>0</v>
      </c>
      <c r="H22" s="758">
        <f t="shared" si="1"/>
        <v>0</v>
      </c>
    </row>
    <row r="23" spans="1:8" s="1" customFormat="1" ht="12.75">
      <c r="A23" s="42"/>
      <c r="B23" s="38" t="s">
        <v>341</v>
      </c>
      <c r="C23" s="150">
        <f>SUM('4a.számú melléklet'!G208)</f>
        <v>23141</v>
      </c>
      <c r="D23" s="150">
        <f>SUM('4a.számú melléklet'!H208)</f>
        <v>51500</v>
      </c>
      <c r="E23" s="150">
        <f>SUM('4a.számú melléklet'!I208)</f>
        <v>40403</v>
      </c>
      <c r="F23" s="642">
        <f>SUM('4a.számú melléklet'!J208)</f>
        <v>60536</v>
      </c>
      <c r="G23" s="758">
        <f t="shared" si="0"/>
        <v>1.1754563106796116</v>
      </c>
      <c r="H23" s="758">
        <f>IF(E23=0,0,F23/E23)</f>
        <v>1.4983045813429696</v>
      </c>
    </row>
    <row r="24" spans="1:8" s="1" customFormat="1" ht="12.75">
      <c r="A24" s="42"/>
      <c r="B24" s="38" t="s">
        <v>201</v>
      </c>
      <c r="C24" s="150">
        <f>SUM('4a.számú melléklet'!G209)</f>
        <v>187080</v>
      </c>
      <c r="D24" s="150">
        <f>SUM('4a.számú melléklet'!H209)</f>
        <v>0</v>
      </c>
      <c r="E24" s="150">
        <f>SUM('4a.számú melléklet'!I209)</f>
        <v>251778</v>
      </c>
      <c r="F24" s="642">
        <f>SUM('4a.számú melléklet'!J209)</f>
        <v>0</v>
      </c>
      <c r="G24" s="758">
        <f t="shared" si="0"/>
        <v>0</v>
      </c>
      <c r="H24" s="758">
        <f t="shared" si="1"/>
        <v>0</v>
      </c>
    </row>
    <row r="25" spans="1:8" s="1" customFormat="1" ht="12.75">
      <c r="A25" s="42"/>
      <c r="B25" s="38" t="s">
        <v>636</v>
      </c>
      <c r="C25" s="150">
        <f>SUM('4a.számú melléklet'!G146,'4a.számú melléklet'!G11)</f>
        <v>24246</v>
      </c>
      <c r="D25" s="150">
        <f>SUM('4a.számú melléklet'!H146,'4a.számú melléklet'!H11)</f>
        <v>10000</v>
      </c>
      <c r="E25" s="150">
        <f>SUM('4a.számú melléklet'!I146,'4a.számú melléklet'!I11)</f>
        <v>214736</v>
      </c>
      <c r="F25" s="642">
        <f>SUM('4a.számú melléklet'!J146,'4a.számú melléklet'!J11)</f>
        <v>0</v>
      </c>
      <c r="G25" s="758">
        <f t="shared" si="0"/>
        <v>0</v>
      </c>
      <c r="H25" s="758">
        <f t="shared" si="1"/>
        <v>0</v>
      </c>
    </row>
    <row r="26" spans="1:8" s="1" customFormat="1" ht="12.75">
      <c r="A26" s="45" t="s">
        <v>733</v>
      </c>
      <c r="B26" s="39" t="s">
        <v>109</v>
      </c>
      <c r="C26" s="742">
        <f>SUM(C22:C25)</f>
        <v>242722</v>
      </c>
      <c r="D26" s="742">
        <f>SUM(D22:D25)</f>
        <v>63500</v>
      </c>
      <c r="E26" s="742">
        <f>SUM(E22:E25)</f>
        <v>519141</v>
      </c>
      <c r="F26" s="642">
        <f>SUM(F22:F25)</f>
        <v>60536</v>
      </c>
      <c r="G26" s="143">
        <f t="shared" si="0"/>
        <v>0.9533228346456692</v>
      </c>
      <c r="H26" s="143">
        <f t="shared" si="1"/>
        <v>0.11660801208149617</v>
      </c>
    </row>
    <row r="27" spans="1:8" s="1" customFormat="1" ht="12.75">
      <c r="A27" s="45" t="s">
        <v>734</v>
      </c>
      <c r="B27" s="39" t="s">
        <v>203</v>
      </c>
      <c r="C27" s="742">
        <f>SUM('4a.számú melléklet'!G211)</f>
        <v>133597</v>
      </c>
      <c r="D27" s="742">
        <f>SUM('4a.számú melléklet'!H211)</f>
        <v>66672</v>
      </c>
      <c r="E27" s="742">
        <f>SUM('4a.számú melléklet'!I211)</f>
        <v>86710</v>
      </c>
      <c r="F27" s="642">
        <f>SUM('4a.számú melléklet'!J211)</f>
        <v>89430</v>
      </c>
      <c r="G27" s="143">
        <f t="shared" si="0"/>
        <v>1.3413426925845933</v>
      </c>
      <c r="H27" s="143">
        <f t="shared" si="1"/>
        <v>1.0313689309191558</v>
      </c>
    </row>
    <row r="28" spans="1:8" s="1" customFormat="1" ht="12.75">
      <c r="A28" s="45" t="s">
        <v>735</v>
      </c>
      <c r="B28" s="39" t="s">
        <v>204</v>
      </c>
      <c r="C28" s="742">
        <f>SUM('4a.számú melléklet'!G212)</f>
        <v>1546864</v>
      </c>
      <c r="D28" s="742">
        <f>SUM('4a.számú melléklet'!H212)</f>
        <v>649669</v>
      </c>
      <c r="E28" s="742">
        <f>SUM('4a.számú melléklet'!I212)</f>
        <v>2262529</v>
      </c>
      <c r="F28" s="642">
        <f>SUM('4a.számú melléklet'!J212)</f>
        <v>220052</v>
      </c>
      <c r="G28" s="143">
        <f t="shared" si="0"/>
        <v>0.3387140220635431</v>
      </c>
      <c r="H28" s="143">
        <f t="shared" si="1"/>
        <v>0.09725930584757146</v>
      </c>
    </row>
    <row r="29" spans="1:8" s="1" customFormat="1" ht="12.75">
      <c r="A29" s="45" t="s">
        <v>736</v>
      </c>
      <c r="B29" s="39" t="s">
        <v>205</v>
      </c>
      <c r="C29" s="742">
        <f>SUM('4a.számú melléklet'!G213)</f>
        <v>0</v>
      </c>
      <c r="D29" s="742">
        <f>SUM('4a.számú melléklet'!H213)</f>
        <v>0</v>
      </c>
      <c r="E29" s="742">
        <f>SUM('4a.számú melléklet'!I213)</f>
        <v>0</v>
      </c>
      <c r="F29" s="642">
        <f>SUM('4a.számú melléklet'!J213)</f>
        <v>0</v>
      </c>
      <c r="G29" s="143">
        <f t="shared" si="0"/>
        <v>0</v>
      </c>
      <c r="H29" s="143">
        <f t="shared" si="1"/>
        <v>0</v>
      </c>
    </row>
    <row r="30" spans="1:8" s="187" customFormat="1" ht="12.75">
      <c r="A30" s="45" t="s">
        <v>737</v>
      </c>
      <c r="B30" s="370" t="s">
        <v>407</v>
      </c>
      <c r="C30" s="761">
        <f>SUM('4a.számú melléklet'!G214)</f>
        <v>5777</v>
      </c>
      <c r="D30" s="761">
        <f>SUM('4a.számú melléklet'!H214)</f>
        <v>91501</v>
      </c>
      <c r="E30" s="761">
        <f>SUM('4a.számú melléklet'!I214)</f>
        <v>142522</v>
      </c>
      <c r="F30" s="762">
        <f>SUM('4a.számú melléklet'!J214)</f>
        <v>118446</v>
      </c>
      <c r="G30" s="763">
        <f t="shared" si="0"/>
        <v>1.2944776559819018</v>
      </c>
      <c r="H30" s="763">
        <f t="shared" si="1"/>
        <v>0.8310716941945805</v>
      </c>
    </row>
    <row r="31" spans="1:8" ht="12.75">
      <c r="A31" s="112"/>
      <c r="B31" s="798" t="s">
        <v>180</v>
      </c>
      <c r="C31" s="748">
        <f>SUM('4a.számú melléklet'!G215)</f>
        <v>0</v>
      </c>
      <c r="D31" s="748">
        <f>SUM('4a.számú melléklet'!H215)</f>
        <v>85501</v>
      </c>
      <c r="E31" s="748">
        <f>SUM('4a.számú melléklet'!I215)</f>
        <v>137271</v>
      </c>
      <c r="F31" s="746">
        <f>SUM('4a.számú melléklet'!J215)</f>
        <v>111535</v>
      </c>
      <c r="G31" s="750">
        <f t="shared" si="0"/>
        <v>1.3044876668109144</v>
      </c>
      <c r="H31" s="751">
        <f t="shared" si="1"/>
        <v>0.8125168462384627</v>
      </c>
    </row>
    <row r="32" spans="1:8" ht="12.75">
      <c r="A32" s="629"/>
      <c r="B32" s="585" t="s">
        <v>447</v>
      </c>
      <c r="C32" s="752">
        <f>SUM('4a.számú melléklet'!G216)</f>
        <v>0</v>
      </c>
      <c r="D32" s="752">
        <f>SUM('4a.számú melléklet'!H216)</f>
        <v>0</v>
      </c>
      <c r="E32" s="752">
        <f>SUM('4a.számú melléklet'!I216)</f>
        <v>114272</v>
      </c>
      <c r="F32" s="1227">
        <f>SUM('4a.számú melléklet'!J216)</f>
        <v>0</v>
      </c>
      <c r="G32" s="754">
        <f>IF(D32=0,0,F32/D32)</f>
        <v>0</v>
      </c>
      <c r="H32" s="755">
        <f>IF(E32=0,0,F32/E32)</f>
        <v>0</v>
      </c>
    </row>
    <row r="33" spans="1:8" ht="12.75">
      <c r="A33" s="42"/>
      <c r="B33" s="764" t="s">
        <v>182</v>
      </c>
      <c r="C33" s="150">
        <f>SUM('4a.számú melléklet'!G217)</f>
        <v>5777</v>
      </c>
      <c r="D33" s="150">
        <f>SUM('4a.számú melléklet'!H217)</f>
        <v>6000</v>
      </c>
      <c r="E33" s="150">
        <f>SUM('4a.számú melléklet'!I217)</f>
        <v>5251</v>
      </c>
      <c r="F33" s="642">
        <f>SUM('4a.számú melléklet'!J217)</f>
        <v>6911</v>
      </c>
      <c r="G33" s="758">
        <f t="shared" si="0"/>
        <v>1.1518333333333333</v>
      </c>
      <c r="H33" s="758">
        <f t="shared" si="1"/>
        <v>1.3161302609026853</v>
      </c>
    </row>
    <row r="34" spans="1:8" s="187" customFormat="1" ht="24.75" customHeight="1">
      <c r="A34" s="55" t="s">
        <v>738</v>
      </c>
      <c r="B34" s="370" t="s">
        <v>746</v>
      </c>
      <c r="C34" s="765">
        <f>SUM('4a.számú melléklet'!G218)</f>
        <v>69574</v>
      </c>
      <c r="D34" s="765">
        <f>SUM('4a.számú melléklet'!H218)</f>
        <v>116231</v>
      </c>
      <c r="E34" s="765">
        <f>SUM('4a.számú melléklet'!I218)</f>
        <v>114996</v>
      </c>
      <c r="F34" s="766">
        <f>SUM('4a.számú melléklet'!J218)</f>
        <v>32964</v>
      </c>
      <c r="G34" s="763">
        <f t="shared" si="0"/>
        <v>0.28360764339978145</v>
      </c>
      <c r="H34" s="763">
        <f t="shared" si="1"/>
        <v>0.286653448815611</v>
      </c>
    </row>
    <row r="35" spans="1:8" ht="12.75" customHeight="1">
      <c r="A35" s="42"/>
      <c r="B35" s="767" t="s">
        <v>178</v>
      </c>
      <c r="C35" s="150">
        <f>SUM('4a.számú melléklet'!G219)</f>
        <v>21432</v>
      </c>
      <c r="D35" s="150">
        <f>SUM('4a.számú melléklet'!H219)</f>
        <v>81931</v>
      </c>
      <c r="E35" s="150">
        <f>SUM('4a.számú melléklet'!I219)</f>
        <v>51604</v>
      </c>
      <c r="F35" s="642">
        <f>SUM('4a.számú melléklet'!J219)</f>
        <v>12414</v>
      </c>
      <c r="G35" s="758">
        <f t="shared" si="0"/>
        <v>0.1515177405377696</v>
      </c>
      <c r="H35" s="758">
        <f t="shared" si="1"/>
        <v>0.24056274707387024</v>
      </c>
    </row>
    <row r="36" spans="1:8" ht="12.75" customHeight="1">
      <c r="A36" s="42"/>
      <c r="B36" s="768" t="s">
        <v>181</v>
      </c>
      <c r="C36" s="150">
        <f>SUM('4a.számú melléklet'!G220)</f>
        <v>10650</v>
      </c>
      <c r="D36" s="150">
        <f>SUM('4a.számú melléklet'!H220)</f>
        <v>20000</v>
      </c>
      <c r="E36" s="150">
        <f>SUM('4a.számú melléklet'!I220)</f>
        <v>15450</v>
      </c>
      <c r="F36" s="642">
        <f>SUM('4a.számú melléklet'!J220)</f>
        <v>20000</v>
      </c>
      <c r="G36" s="758">
        <f t="shared" si="0"/>
        <v>1</v>
      </c>
      <c r="H36" s="758">
        <f t="shared" si="1"/>
        <v>1.2944983818770226</v>
      </c>
    </row>
    <row r="37" spans="1:8" ht="12.75" customHeight="1">
      <c r="A37" s="42"/>
      <c r="B37" s="768" t="s">
        <v>356</v>
      </c>
      <c r="C37" s="150">
        <f>SUM('4a.számú melléklet'!G221)</f>
        <v>10369</v>
      </c>
      <c r="D37" s="150">
        <f>SUM('4a.számú melléklet'!H221)</f>
        <v>0</v>
      </c>
      <c r="E37" s="150">
        <f>SUM('4a.számú melléklet'!I221)</f>
        <v>0</v>
      </c>
      <c r="F37" s="642">
        <f>SUM('4a.számú melléklet'!J221)</f>
        <v>0</v>
      </c>
      <c r="G37" s="758">
        <f t="shared" si="0"/>
        <v>0</v>
      </c>
      <c r="H37" s="758">
        <f t="shared" si="1"/>
        <v>0</v>
      </c>
    </row>
    <row r="38" spans="1:8" ht="12.75" customHeight="1">
      <c r="A38" s="42"/>
      <c r="B38" s="768" t="s">
        <v>179</v>
      </c>
      <c r="C38" s="150">
        <f>SUM('4a.számú melléklet'!G222)</f>
        <v>20123</v>
      </c>
      <c r="D38" s="150">
        <f>SUM('4a.számú melléklet'!H222)</f>
        <v>11000</v>
      </c>
      <c r="E38" s="150">
        <f>SUM('4a.számú melléklet'!I222)</f>
        <v>44942</v>
      </c>
      <c r="F38" s="642">
        <f>SUM('4a.számú melléklet'!J222)</f>
        <v>550</v>
      </c>
      <c r="G38" s="758">
        <f t="shared" si="0"/>
        <v>0.05</v>
      </c>
      <c r="H38" s="758">
        <f t="shared" si="1"/>
        <v>0.012237995638823372</v>
      </c>
    </row>
    <row r="39" spans="1:8" ht="12.75" customHeight="1">
      <c r="A39" s="42"/>
      <c r="B39" s="768" t="s">
        <v>480</v>
      </c>
      <c r="C39" s="150">
        <f>SUM('4a.számú melléklet'!G223)</f>
        <v>7000</v>
      </c>
      <c r="D39" s="150">
        <f>SUM('4a.számú melléklet'!H223)</f>
        <v>3300</v>
      </c>
      <c r="E39" s="150">
        <f>SUM('4a.számú melléklet'!I223)</f>
        <v>3000</v>
      </c>
      <c r="F39" s="642">
        <f>SUM('4a.számú melléklet'!J223)</f>
        <v>0</v>
      </c>
      <c r="G39" s="758">
        <f>IF(D39=0,0,F39/D39)</f>
        <v>0</v>
      </c>
      <c r="H39" s="758">
        <f>IF(E39=0,0,F39/E39)</f>
        <v>0</v>
      </c>
    </row>
    <row r="40" spans="1:8" s="369" customFormat="1" ht="24.75" customHeight="1">
      <c r="A40" s="117" t="s">
        <v>327</v>
      </c>
      <c r="B40" s="367" t="s">
        <v>887</v>
      </c>
      <c r="C40" s="769">
        <f>SUM(C26,C27,C28,C29,C30,C34)</f>
        <v>1998534</v>
      </c>
      <c r="D40" s="769">
        <f>SUM(D26,D27,D28,D29,D30,D34)</f>
        <v>987573</v>
      </c>
      <c r="E40" s="769">
        <f>SUM(E26,E27,E28,E29,E30,E34)</f>
        <v>3125898</v>
      </c>
      <c r="F40" s="770">
        <f>SUM(F26,F27,F28,F29,F30,F34)</f>
        <v>521428</v>
      </c>
      <c r="G40" s="771">
        <f t="shared" si="0"/>
        <v>0.527989323320909</v>
      </c>
      <c r="H40" s="771">
        <f t="shared" si="1"/>
        <v>0.16680902575835807</v>
      </c>
    </row>
    <row r="41" spans="1:8" s="369" customFormat="1" ht="12.75" customHeight="1">
      <c r="A41" s="732" t="s">
        <v>811</v>
      </c>
      <c r="B41" s="733" t="s">
        <v>633</v>
      </c>
      <c r="C41" s="772">
        <f>SUM(C42:C43)</f>
        <v>12141</v>
      </c>
      <c r="D41" s="772">
        <f>SUM(D42:D43)</f>
        <v>505332</v>
      </c>
      <c r="E41" s="772">
        <f>SUM(E42:E43)</f>
        <v>509306</v>
      </c>
      <c r="F41" s="777">
        <f>SUM(F42:F43)</f>
        <v>8125</v>
      </c>
      <c r="G41" s="758">
        <f t="shared" si="0"/>
        <v>0.0160785384658007</v>
      </c>
      <c r="H41" s="758">
        <f t="shared" si="1"/>
        <v>0.01595308125174257</v>
      </c>
    </row>
    <row r="42" spans="1:8" s="369" customFormat="1" ht="12.75" customHeight="1">
      <c r="A42" s="117"/>
      <c r="B42" s="774" t="s">
        <v>631</v>
      </c>
      <c r="C42" s="775">
        <f>SUM('4a.számú melléklet'!G225)</f>
        <v>0</v>
      </c>
      <c r="D42" s="775">
        <f>SUM('4a.számú melléklet'!H225)</f>
        <v>498000</v>
      </c>
      <c r="E42" s="775">
        <f>SUM('4a.számú melléklet'!I225)</f>
        <v>498000</v>
      </c>
      <c r="F42" s="773">
        <f>SUM('4a.számú melléklet'!J225)</f>
        <v>0</v>
      </c>
      <c r="G42" s="758">
        <f t="shared" si="0"/>
        <v>0</v>
      </c>
      <c r="H42" s="758">
        <f t="shared" si="1"/>
        <v>0</v>
      </c>
    </row>
    <row r="43" spans="1:8" s="369" customFormat="1" ht="12.75" customHeight="1">
      <c r="A43" s="117"/>
      <c r="B43" s="774" t="s">
        <v>632</v>
      </c>
      <c r="C43" s="775">
        <f>SUM('4a.számú melléklet'!G226)</f>
        <v>12141</v>
      </c>
      <c r="D43" s="775">
        <f>SUM('4a.számú melléklet'!H226)</f>
        <v>7332</v>
      </c>
      <c r="E43" s="775">
        <f>SUM('4a.számú melléklet'!I226)</f>
        <v>11306</v>
      </c>
      <c r="F43" s="773">
        <f>SUM('4a.számú melléklet'!J226)</f>
        <v>8125</v>
      </c>
      <c r="G43" s="758">
        <f t="shared" si="0"/>
        <v>1.1081560283687943</v>
      </c>
      <c r="H43" s="758">
        <f t="shared" si="1"/>
        <v>0.7186449672740138</v>
      </c>
    </row>
    <row r="44" spans="1:8" s="369" customFormat="1" ht="12.75" customHeight="1">
      <c r="A44" s="55" t="s">
        <v>812</v>
      </c>
      <c r="B44" s="670" t="s">
        <v>748</v>
      </c>
      <c r="C44" s="772">
        <f>SUM(C45:C47)</f>
        <v>0</v>
      </c>
      <c r="D44" s="772">
        <f>SUM(D45:D47)</f>
        <v>1453639</v>
      </c>
      <c r="E44" s="772">
        <f>SUM(E45:E47)</f>
        <v>0</v>
      </c>
      <c r="F44" s="773">
        <f>SUM(F45:F47)</f>
        <v>2629230</v>
      </c>
      <c r="G44" s="143">
        <f t="shared" si="0"/>
        <v>1.8087227984389522</v>
      </c>
      <c r="H44" s="143">
        <f t="shared" si="1"/>
        <v>0</v>
      </c>
    </row>
    <row r="45" spans="1:8" s="369" customFormat="1" ht="12.75" customHeight="1">
      <c r="A45" s="117"/>
      <c r="B45" s="774" t="s">
        <v>533</v>
      </c>
      <c r="C45" s="775">
        <f>SUM('4a.számú melléklet'!G228)</f>
        <v>0</v>
      </c>
      <c r="D45" s="775">
        <f>SUM('4a.számú melléklet'!H228)</f>
        <v>628235</v>
      </c>
      <c r="E45" s="775">
        <f>SUM('4a.számú melléklet'!I228)</f>
        <v>0</v>
      </c>
      <c r="F45" s="773">
        <f>SUM('4a.számú melléklet'!J228)</f>
        <v>2123250</v>
      </c>
      <c r="G45" s="758">
        <f t="shared" si="0"/>
        <v>3.3797066384394374</v>
      </c>
      <c r="H45" s="758">
        <f t="shared" si="1"/>
        <v>0</v>
      </c>
    </row>
    <row r="46" spans="1:8" s="369" customFormat="1" ht="12.75" customHeight="1">
      <c r="A46" s="117"/>
      <c r="B46" s="795" t="s">
        <v>354</v>
      </c>
      <c r="C46" s="775">
        <f>SUM('4a.számú melléklet'!G229)</f>
        <v>0</v>
      </c>
      <c r="D46" s="775">
        <f>SUM('4a.számú melléklet'!H229)</f>
        <v>62000</v>
      </c>
      <c r="E46" s="775">
        <f>SUM('4a.számú melléklet'!I229)</f>
        <v>0</v>
      </c>
      <c r="F46" s="773">
        <f>SUM('4a.számú melléklet'!J229)</f>
        <v>62000</v>
      </c>
      <c r="G46" s="758">
        <f t="shared" si="0"/>
        <v>1</v>
      </c>
      <c r="H46" s="758">
        <f t="shared" si="1"/>
        <v>0</v>
      </c>
    </row>
    <row r="47" spans="1:8" s="369" customFormat="1" ht="12.75" customHeight="1">
      <c r="A47" s="117"/>
      <c r="B47" s="796" t="s">
        <v>534</v>
      </c>
      <c r="C47" s="775">
        <f>SUM('4a.számú melléklet'!G230)</f>
        <v>0</v>
      </c>
      <c r="D47" s="775">
        <f>SUM('4a.számú melléklet'!H230)</f>
        <v>763404</v>
      </c>
      <c r="E47" s="775">
        <f>SUM('4a.számú melléklet'!I230)</f>
        <v>0</v>
      </c>
      <c r="F47" s="773">
        <f>SUM('4a.számú melléklet'!J230)</f>
        <v>443980</v>
      </c>
      <c r="G47" s="758">
        <f t="shared" si="0"/>
        <v>0.5815793472394696</v>
      </c>
      <c r="H47" s="758">
        <f t="shared" si="1"/>
        <v>0</v>
      </c>
    </row>
    <row r="48" spans="1:8" s="187" customFormat="1" ht="12.75" customHeight="1">
      <c r="A48" s="55"/>
      <c r="B48" s="670" t="s">
        <v>355</v>
      </c>
      <c r="C48" s="772">
        <f>SUM(C21,C40,C41,C44)</f>
        <v>6294049</v>
      </c>
      <c r="D48" s="772">
        <f>SUM(D21,D40,D41,D44)</f>
        <v>7407461</v>
      </c>
      <c r="E48" s="772">
        <f>SUM(E21,E40,E41,E44)</f>
        <v>10793536</v>
      </c>
      <c r="F48" s="772">
        <f>SUM(F21,F40,F41,F44)</f>
        <v>7844640</v>
      </c>
      <c r="G48" s="758">
        <f aca="true" t="shared" si="2" ref="G48:G54">IF(D48=0,0,F48/D48)</f>
        <v>1.0590187379994305</v>
      </c>
      <c r="H48" s="758">
        <f aca="true" t="shared" si="3" ref="H48:H54">IF(E48=0,0,F48/E48)</f>
        <v>0.7267905531607065</v>
      </c>
    </row>
    <row r="49" spans="1:8" s="1" customFormat="1" ht="12.75" customHeight="1">
      <c r="A49" s="55" t="s">
        <v>325</v>
      </c>
      <c r="B49" s="733" t="s">
        <v>110</v>
      </c>
      <c r="C49" s="772">
        <f>SUM('4a.számú melléklet'!G231)</f>
        <v>98552</v>
      </c>
      <c r="D49" s="772">
        <f>SUM('4a.számú melléklet'!H231)</f>
        <v>145064</v>
      </c>
      <c r="E49" s="772">
        <f>SUM('4a.számú melléklet'!I231)</f>
        <v>2295963</v>
      </c>
      <c r="F49" s="773">
        <f>SUM('4a.számú melléklet'!J231)</f>
        <v>145064</v>
      </c>
      <c r="G49" s="143">
        <f t="shared" si="2"/>
        <v>1</v>
      </c>
      <c r="H49" s="143">
        <f t="shared" si="3"/>
        <v>0.06318220284908772</v>
      </c>
    </row>
    <row r="50" spans="1:8" s="2" customFormat="1" ht="12.75" customHeight="1">
      <c r="A50" s="117"/>
      <c r="B50" s="774" t="s">
        <v>771</v>
      </c>
      <c r="C50" s="775">
        <f>SUM('4a.számú melléklet'!G232)</f>
        <v>98552</v>
      </c>
      <c r="D50" s="775">
        <f>SUM('4a.számú melléklet'!H232)</f>
        <v>145064</v>
      </c>
      <c r="E50" s="775">
        <f>SUM('4a.számú melléklet'!I232)</f>
        <v>145064</v>
      </c>
      <c r="F50" s="773">
        <f>SUM('4a.számú melléklet'!J232)</f>
        <v>145064</v>
      </c>
      <c r="G50" s="758">
        <f t="shared" si="2"/>
        <v>1</v>
      </c>
      <c r="H50" s="758">
        <f t="shared" si="3"/>
        <v>1</v>
      </c>
    </row>
    <row r="51" spans="1:8" s="2" customFormat="1" ht="12.75" customHeight="1">
      <c r="A51" s="117"/>
      <c r="B51" s="776" t="s">
        <v>532</v>
      </c>
      <c r="C51" s="775">
        <f>SUM('4a.számú melléklet'!G233)</f>
        <v>0</v>
      </c>
      <c r="D51" s="775">
        <f>SUM('4a.számú melléklet'!H233)</f>
        <v>0</v>
      </c>
      <c r="E51" s="775">
        <f>SUM('4a.számú melléklet'!I233)</f>
        <v>2150899</v>
      </c>
      <c r="F51" s="773">
        <f>SUM('4a.számú melléklet'!J233)</f>
        <v>0</v>
      </c>
      <c r="G51" s="758">
        <f t="shared" si="2"/>
        <v>0</v>
      </c>
      <c r="H51" s="758">
        <f t="shared" si="3"/>
        <v>0</v>
      </c>
    </row>
    <row r="52" spans="1:8" s="2" customFormat="1" ht="12.75" customHeight="1">
      <c r="A52" s="117"/>
      <c r="B52" s="797" t="s">
        <v>561</v>
      </c>
      <c r="C52" s="347">
        <f>SUM(C48:C49)</f>
        <v>6392601</v>
      </c>
      <c r="D52" s="347">
        <f>SUM(D48:D49)</f>
        <v>7552525</v>
      </c>
      <c r="E52" s="347">
        <f>SUM(E48:E49)</f>
        <v>13089499</v>
      </c>
      <c r="F52" s="347">
        <f>SUM(F48:F49)</f>
        <v>7989704</v>
      </c>
      <c r="G52" s="144">
        <f t="shared" si="2"/>
        <v>1.0578851443722463</v>
      </c>
      <c r="H52" s="144">
        <f t="shared" si="3"/>
        <v>0.6103903594782352</v>
      </c>
    </row>
    <row r="53" spans="1:8" s="2" customFormat="1" ht="12.75" customHeight="1">
      <c r="A53" s="1237"/>
      <c r="B53" s="1238"/>
      <c r="C53" s="1239"/>
      <c r="D53" s="1239"/>
      <c r="E53" s="1239"/>
      <c r="F53" s="1239"/>
      <c r="G53" s="1240"/>
      <c r="H53" s="1240"/>
    </row>
    <row r="54" spans="1:8" ht="12.75" customHeight="1">
      <c r="A54" s="55" t="s">
        <v>329</v>
      </c>
      <c r="B54" s="668" t="s">
        <v>481</v>
      </c>
      <c r="C54" s="775">
        <f>SUM('4a.számú melléklet'!G234)</f>
        <v>7369746</v>
      </c>
      <c r="D54" s="775">
        <f>SUM('4a.számú melléklet'!H234)</f>
        <v>7528303</v>
      </c>
      <c r="E54" s="775">
        <f>SUM('4a.számú melléklet'!I234)</f>
        <v>7971952</v>
      </c>
      <c r="F54" s="773">
        <f>SUM('4a.számú melléklet'!J234)</f>
        <v>7439104</v>
      </c>
      <c r="G54" s="758">
        <f t="shared" si="2"/>
        <v>0.9881515130302274</v>
      </c>
      <c r="H54" s="758">
        <f t="shared" si="3"/>
        <v>0.9331596577601069</v>
      </c>
    </row>
    <row r="55" spans="1:8" s="116" customFormat="1" ht="12.75" customHeight="1">
      <c r="A55" s="113"/>
      <c r="B55" s="114" t="s">
        <v>562</v>
      </c>
      <c r="C55" s="347">
        <f>SUM(C52:C54)</f>
        <v>13762347</v>
      </c>
      <c r="D55" s="347">
        <f>SUM(D52:D54)</f>
        <v>15080828</v>
      </c>
      <c r="E55" s="347">
        <f>SUM(E52:E54)</f>
        <v>21061451</v>
      </c>
      <c r="F55" s="347">
        <f>SUM(F52:F54)</f>
        <v>15428808</v>
      </c>
      <c r="G55" s="144">
        <f t="shared" si="0"/>
        <v>1.0230743298710123</v>
      </c>
      <c r="H55" s="144">
        <f t="shared" si="1"/>
        <v>0.732561493507736</v>
      </c>
    </row>
    <row r="56" spans="1:8" ht="12.75" customHeight="1">
      <c r="A56" s="42"/>
      <c r="B56" s="35" t="s">
        <v>319</v>
      </c>
      <c r="C56" s="35"/>
      <c r="D56" s="778"/>
      <c r="E56" s="779"/>
      <c r="F56" s="780"/>
      <c r="G56" s="150"/>
      <c r="H56" s="778"/>
    </row>
    <row r="57" spans="1:8" ht="12.75" customHeight="1">
      <c r="A57" s="42" t="s">
        <v>524</v>
      </c>
      <c r="B57" s="151" t="s">
        <v>400</v>
      </c>
      <c r="C57" s="942">
        <v>26092</v>
      </c>
      <c r="D57" s="569">
        <v>22000</v>
      </c>
      <c r="E57" s="569">
        <v>33159</v>
      </c>
      <c r="F57" s="642">
        <v>25500</v>
      </c>
      <c r="G57" s="781">
        <f>IF(D57=0,0,F57/D57)</f>
        <v>1.1590909090909092</v>
      </c>
      <c r="H57" s="781">
        <f aca="true" t="shared" si="4" ref="H57:H77">IF(E57=0,0,F57/E57)</f>
        <v>0.769021984981453</v>
      </c>
    </row>
    <row r="58" spans="1:8" s="187" customFormat="1" ht="25.5">
      <c r="A58" s="56" t="s">
        <v>525</v>
      </c>
      <c r="B58" s="782" t="s">
        <v>791</v>
      </c>
      <c r="C58" s="949">
        <v>114362</v>
      </c>
      <c r="D58" s="783">
        <v>85596</v>
      </c>
      <c r="E58" s="783">
        <v>123494</v>
      </c>
      <c r="F58" s="766">
        <v>114590</v>
      </c>
      <c r="G58" s="784">
        <f>IF(D58=0,0,F58/D58)</f>
        <v>1.3387307818122343</v>
      </c>
      <c r="H58" s="784">
        <f t="shared" si="4"/>
        <v>0.927899331141594</v>
      </c>
    </row>
    <row r="59" spans="1:8" ht="12.75">
      <c r="A59" s="56" t="s">
        <v>526</v>
      </c>
      <c r="B59" s="36" t="s">
        <v>726</v>
      </c>
      <c r="C59" s="59">
        <v>936</v>
      </c>
      <c r="D59" s="569">
        <v>700</v>
      </c>
      <c r="E59" s="569">
        <v>851</v>
      </c>
      <c r="F59" s="642">
        <v>1537</v>
      </c>
      <c r="G59" s="781">
        <f aca="true" t="shared" si="5" ref="G59:G77">IF(D59=0,0,F59/D59)</f>
        <v>2.1957142857142857</v>
      </c>
      <c r="H59" s="781">
        <f t="shared" si="4"/>
        <v>1.8061104582843712</v>
      </c>
    </row>
    <row r="60" spans="1:8" ht="12.75">
      <c r="A60" s="56" t="s">
        <v>729</v>
      </c>
      <c r="B60" s="449" t="s">
        <v>607</v>
      </c>
      <c r="C60" s="59">
        <v>41779</v>
      </c>
      <c r="D60" s="569">
        <v>550000</v>
      </c>
      <c r="E60" s="569">
        <v>566926</v>
      </c>
      <c r="F60" s="642">
        <v>355000</v>
      </c>
      <c r="G60" s="781">
        <f t="shared" si="5"/>
        <v>0.6454545454545455</v>
      </c>
      <c r="H60" s="781">
        <f t="shared" si="4"/>
        <v>0.6261840169616493</v>
      </c>
    </row>
    <row r="61" spans="1:8" s="1" customFormat="1" ht="12.75">
      <c r="A61" s="56" t="s">
        <v>730</v>
      </c>
      <c r="B61" s="449" t="s">
        <v>349</v>
      </c>
      <c r="C61" s="59">
        <v>2483458</v>
      </c>
      <c r="D61" s="569">
        <v>234491</v>
      </c>
      <c r="E61" s="569">
        <v>126143</v>
      </c>
      <c r="F61" s="642">
        <v>110605</v>
      </c>
      <c r="G61" s="781">
        <f t="shared" si="5"/>
        <v>0.4716812159102055</v>
      </c>
      <c r="H61" s="781">
        <f t="shared" si="4"/>
        <v>0.8768223365545452</v>
      </c>
    </row>
    <row r="62" spans="1:8" s="1" customFormat="1" ht="12.75">
      <c r="A62" s="56" t="s">
        <v>731</v>
      </c>
      <c r="B62" s="36" t="s">
        <v>758</v>
      </c>
      <c r="C62" s="59">
        <v>3943768</v>
      </c>
      <c r="D62" s="569">
        <v>4471008</v>
      </c>
      <c r="E62" s="569">
        <v>4819408</v>
      </c>
      <c r="F62" s="642">
        <v>5464408</v>
      </c>
      <c r="G62" s="781">
        <f t="shared" si="5"/>
        <v>1.2221870325438917</v>
      </c>
      <c r="H62" s="781">
        <f t="shared" si="4"/>
        <v>1.1338338650722246</v>
      </c>
    </row>
    <row r="63" spans="1:8" s="1" customFormat="1" ht="12.75">
      <c r="A63" s="56" t="s">
        <v>732</v>
      </c>
      <c r="B63" s="36" t="s">
        <v>718</v>
      </c>
      <c r="C63" s="59">
        <v>1550600</v>
      </c>
      <c r="D63" s="569">
        <v>1551685</v>
      </c>
      <c r="E63" s="569">
        <v>1547224</v>
      </c>
      <c r="F63" s="642">
        <v>1741289</v>
      </c>
      <c r="G63" s="781">
        <f t="shared" si="5"/>
        <v>1.1221923264064548</v>
      </c>
      <c r="H63" s="781">
        <f t="shared" si="4"/>
        <v>1.1254278630631376</v>
      </c>
    </row>
    <row r="64" spans="1:8" s="1" customFormat="1" ht="12.75">
      <c r="A64" s="56" t="s">
        <v>733</v>
      </c>
      <c r="B64" s="36" t="s">
        <v>757</v>
      </c>
      <c r="C64" s="59">
        <v>27449</v>
      </c>
      <c r="D64" s="569">
        <v>5000</v>
      </c>
      <c r="E64" s="569">
        <v>27639</v>
      </c>
      <c r="F64" s="642">
        <v>0</v>
      </c>
      <c r="G64" s="781">
        <f t="shared" si="5"/>
        <v>0</v>
      </c>
      <c r="H64" s="781">
        <f t="shared" si="4"/>
        <v>0</v>
      </c>
    </row>
    <row r="65" spans="1:8" s="1" customFormat="1" ht="12.75">
      <c r="A65" s="56" t="s">
        <v>734</v>
      </c>
      <c r="B65" s="36" t="s">
        <v>91</v>
      </c>
      <c r="C65" s="59">
        <v>607470</v>
      </c>
      <c r="D65" s="569">
        <v>599946</v>
      </c>
      <c r="E65" s="569">
        <v>611267</v>
      </c>
      <c r="F65" s="642">
        <v>636500</v>
      </c>
      <c r="G65" s="781">
        <f t="shared" si="5"/>
        <v>1.0609288169268567</v>
      </c>
      <c r="H65" s="781">
        <f t="shared" si="4"/>
        <v>1.0412798335261024</v>
      </c>
    </row>
    <row r="66" spans="1:8" s="187" customFormat="1" ht="25.5" customHeight="1">
      <c r="A66" s="471" t="s">
        <v>735</v>
      </c>
      <c r="B66" s="590" t="s">
        <v>192</v>
      </c>
      <c r="C66" s="944">
        <v>389263</v>
      </c>
      <c r="D66" s="785">
        <v>91821</v>
      </c>
      <c r="E66" s="785">
        <v>378790</v>
      </c>
      <c r="F66" s="762">
        <v>116969</v>
      </c>
      <c r="G66" s="786">
        <f t="shared" si="5"/>
        <v>1.2738807026715022</v>
      </c>
      <c r="H66" s="786">
        <f t="shared" si="4"/>
        <v>0.30879643073998786</v>
      </c>
    </row>
    <row r="67" spans="1:8" s="187" customFormat="1" ht="9.75" customHeight="1">
      <c r="A67" s="475"/>
      <c r="B67" s="585" t="s">
        <v>447</v>
      </c>
      <c r="C67" s="943">
        <v>0</v>
      </c>
      <c r="D67" s="787">
        <v>0</v>
      </c>
      <c r="E67" s="787">
        <v>184259</v>
      </c>
      <c r="F67" s="1228">
        <v>0</v>
      </c>
      <c r="G67" s="788">
        <f>IF(D67=0,0,F67/D67)</f>
        <v>0</v>
      </c>
      <c r="H67" s="788">
        <f>IF(E67=0,0,F67/E67)</f>
        <v>0</v>
      </c>
    </row>
    <row r="68" spans="1:8" s="187" customFormat="1" ht="24.75" customHeight="1">
      <c r="A68" s="56" t="s">
        <v>736</v>
      </c>
      <c r="B68" s="448" t="s">
        <v>625</v>
      </c>
      <c r="C68" s="946">
        <v>2650</v>
      </c>
      <c r="D68" s="783">
        <v>0</v>
      </c>
      <c r="E68" s="783">
        <v>2821</v>
      </c>
      <c r="F68" s="766">
        <v>0</v>
      </c>
      <c r="G68" s="784">
        <f t="shared" si="5"/>
        <v>0</v>
      </c>
      <c r="H68" s="784">
        <f t="shared" si="4"/>
        <v>0</v>
      </c>
    </row>
    <row r="69" spans="1:8" s="1" customFormat="1" ht="12.75">
      <c r="A69" s="56" t="s">
        <v>737</v>
      </c>
      <c r="B69" s="36" t="s">
        <v>352</v>
      </c>
      <c r="C69" s="59">
        <v>3415402</v>
      </c>
      <c r="D69" s="569">
        <v>2953775</v>
      </c>
      <c r="E69" s="569">
        <v>3035738</v>
      </c>
      <c r="F69" s="642">
        <v>2684721</v>
      </c>
      <c r="G69" s="781">
        <f t="shared" si="5"/>
        <v>0.9089118162351567</v>
      </c>
      <c r="H69" s="781">
        <f t="shared" si="4"/>
        <v>0.8843717738487313</v>
      </c>
    </row>
    <row r="70" spans="1:8" s="2" customFormat="1" ht="13.5">
      <c r="A70" s="176" t="s">
        <v>805</v>
      </c>
      <c r="B70" s="35" t="s">
        <v>548</v>
      </c>
      <c r="C70" s="526">
        <f>SUM(C57:C69)-C67</f>
        <v>12603229</v>
      </c>
      <c r="D70" s="526">
        <f>SUM(D57:D69)-D67</f>
        <v>10566022</v>
      </c>
      <c r="E70" s="526">
        <f>SUM(E57:E69)-E67</f>
        <v>11273460</v>
      </c>
      <c r="F70" s="526">
        <f>SUM(F57:F69)-F67</f>
        <v>11251119</v>
      </c>
      <c r="G70" s="574">
        <f t="shared" si="5"/>
        <v>1.0648396340647408</v>
      </c>
      <c r="H70" s="574">
        <f t="shared" si="4"/>
        <v>0.99801826590949</v>
      </c>
    </row>
    <row r="71" spans="1:8" ht="12.75">
      <c r="A71" s="112" t="s">
        <v>738</v>
      </c>
      <c r="B71" s="590" t="s">
        <v>194</v>
      </c>
      <c r="C71" s="944">
        <v>981564</v>
      </c>
      <c r="D71" s="749">
        <v>466479</v>
      </c>
      <c r="E71" s="749">
        <v>746568</v>
      </c>
      <c r="F71" s="746">
        <v>0</v>
      </c>
      <c r="G71" s="789">
        <f t="shared" si="5"/>
        <v>0</v>
      </c>
      <c r="H71" s="789">
        <f t="shared" si="4"/>
        <v>0</v>
      </c>
    </row>
    <row r="72" spans="1:8" ht="12.75">
      <c r="A72" s="629"/>
      <c r="B72" s="585" t="s">
        <v>447</v>
      </c>
      <c r="C72" s="943">
        <v>0</v>
      </c>
      <c r="D72" s="753">
        <v>0</v>
      </c>
      <c r="E72" s="753">
        <v>3331</v>
      </c>
      <c r="F72" s="1227">
        <v>0</v>
      </c>
      <c r="G72" s="790">
        <f>IF(D72=0,0,F72/D72)</f>
        <v>0</v>
      </c>
      <c r="H72" s="790">
        <f>IF(E72=0,0,F72/E72)</f>
        <v>0</v>
      </c>
    </row>
    <row r="73" spans="1:8" s="378" customFormat="1" ht="25.5">
      <c r="A73" s="56" t="s">
        <v>811</v>
      </c>
      <c r="B73" s="448" t="s">
        <v>418</v>
      </c>
      <c r="C73" s="946">
        <v>566000</v>
      </c>
      <c r="D73" s="783">
        <v>12990</v>
      </c>
      <c r="E73" s="783">
        <v>19245</v>
      </c>
      <c r="F73" s="766">
        <v>0</v>
      </c>
      <c r="G73" s="784">
        <f t="shared" si="5"/>
        <v>0</v>
      </c>
      <c r="H73" s="784">
        <f t="shared" si="4"/>
        <v>0</v>
      </c>
    </row>
    <row r="74" spans="1:8" ht="12.75">
      <c r="A74" s="42" t="s">
        <v>812</v>
      </c>
      <c r="B74" s="36" t="s">
        <v>311</v>
      </c>
      <c r="C74" s="59">
        <v>9845721</v>
      </c>
      <c r="D74" s="569">
        <v>886597</v>
      </c>
      <c r="E74" s="569">
        <v>503622</v>
      </c>
      <c r="F74" s="642">
        <v>259276</v>
      </c>
      <c r="G74" s="781">
        <f t="shared" si="5"/>
        <v>0.2924395187441419</v>
      </c>
      <c r="H74" s="781">
        <f t="shared" si="4"/>
        <v>0.5148226249051868</v>
      </c>
    </row>
    <row r="75" spans="1:8" ht="12.75">
      <c r="A75" s="42" t="s">
        <v>325</v>
      </c>
      <c r="B75" s="36" t="s">
        <v>90</v>
      </c>
      <c r="C75" s="59">
        <v>230883</v>
      </c>
      <c r="D75" s="569">
        <v>130554</v>
      </c>
      <c r="E75" s="569">
        <v>269858</v>
      </c>
      <c r="F75" s="642">
        <v>116752</v>
      </c>
      <c r="G75" s="781">
        <f t="shared" si="5"/>
        <v>0.8942812935643488</v>
      </c>
      <c r="H75" s="781">
        <f t="shared" si="4"/>
        <v>0.4326423526447243</v>
      </c>
    </row>
    <row r="76" spans="1:8" s="2" customFormat="1" ht="13.5">
      <c r="A76" s="649" t="s">
        <v>327</v>
      </c>
      <c r="B76" s="35" t="s">
        <v>313</v>
      </c>
      <c r="C76" s="526">
        <f>SUM(C71:C75)-C72</f>
        <v>11624168</v>
      </c>
      <c r="D76" s="526">
        <f>SUM(D71:D75)-D72</f>
        <v>1496620</v>
      </c>
      <c r="E76" s="526">
        <f>SUM(E71:E75)-E72</f>
        <v>1539293</v>
      </c>
      <c r="F76" s="526">
        <f>SUM(F71:F75)-F72</f>
        <v>376028</v>
      </c>
      <c r="G76" s="574">
        <f t="shared" si="5"/>
        <v>0.2512514866833264</v>
      </c>
      <c r="H76" s="574">
        <f t="shared" si="4"/>
        <v>0.24428617553643134</v>
      </c>
    </row>
    <row r="77" spans="1:8" s="369" customFormat="1" ht="40.5">
      <c r="A77" s="56" t="s">
        <v>329</v>
      </c>
      <c r="B77" s="791" t="s">
        <v>563</v>
      </c>
      <c r="C77" s="1047">
        <v>23820</v>
      </c>
      <c r="D77" s="770">
        <v>20925</v>
      </c>
      <c r="E77" s="770">
        <v>23110</v>
      </c>
      <c r="F77" s="770">
        <v>22309</v>
      </c>
      <c r="G77" s="792">
        <f t="shared" si="5"/>
        <v>1.0661409796893668</v>
      </c>
      <c r="H77" s="792">
        <f t="shared" si="4"/>
        <v>0.9653396797922977</v>
      </c>
    </row>
    <row r="78" spans="1:8" s="369" customFormat="1" ht="13.5">
      <c r="A78" s="56" t="s">
        <v>331</v>
      </c>
      <c r="B78" s="791" t="s">
        <v>704</v>
      </c>
      <c r="C78" s="1047">
        <v>498000</v>
      </c>
      <c r="D78" s="770">
        <v>0</v>
      </c>
      <c r="E78" s="770">
        <v>0</v>
      </c>
      <c r="F78" s="770">
        <v>0</v>
      </c>
      <c r="G78" s="792">
        <f>IF(D78=0,0,F78/D78)</f>
        <v>0</v>
      </c>
      <c r="H78" s="792">
        <f aca="true" t="shared" si="6" ref="H78:H87">IF(E78=0,0,F78/E78)</f>
        <v>0</v>
      </c>
    </row>
    <row r="79" spans="1:8" s="369" customFormat="1" ht="12.75">
      <c r="A79" s="56" t="s">
        <v>332</v>
      </c>
      <c r="B79" s="36" t="s">
        <v>709</v>
      </c>
      <c r="C79" s="59">
        <v>884802</v>
      </c>
      <c r="D79" s="569">
        <v>0</v>
      </c>
      <c r="E79" s="569">
        <v>2851054</v>
      </c>
      <c r="F79" s="642">
        <v>0</v>
      </c>
      <c r="G79" s="781">
        <f>IF(D79=0,0,F79/D79)</f>
        <v>0</v>
      </c>
      <c r="H79" s="781">
        <f t="shared" si="6"/>
        <v>0</v>
      </c>
    </row>
    <row r="80" spans="1:8" s="369" customFormat="1" ht="12.75">
      <c r="A80" s="56" t="s">
        <v>334</v>
      </c>
      <c r="B80" s="36" t="s">
        <v>710</v>
      </c>
      <c r="C80" s="59">
        <v>0</v>
      </c>
      <c r="D80" s="569">
        <v>0</v>
      </c>
      <c r="E80" s="569">
        <v>0</v>
      </c>
      <c r="F80" s="642">
        <v>0</v>
      </c>
      <c r="G80" s="781">
        <f>IF(D80=0,0,F80/D80)</f>
        <v>0</v>
      </c>
      <c r="H80" s="781">
        <f t="shared" si="6"/>
        <v>0</v>
      </c>
    </row>
    <row r="81" spans="1:8" s="369" customFormat="1" ht="13.5">
      <c r="A81" s="113" t="s">
        <v>338</v>
      </c>
      <c r="B81" s="35" t="s">
        <v>557</v>
      </c>
      <c r="C81" s="793">
        <f>SUM(C79:C80)</f>
        <v>884802</v>
      </c>
      <c r="D81" s="793">
        <f>SUM(D79:D80)</f>
        <v>0</v>
      </c>
      <c r="E81" s="793">
        <f>SUM(E79:E80)</f>
        <v>2851054</v>
      </c>
      <c r="F81" s="793">
        <f>SUM(F79:F80)</f>
        <v>0</v>
      </c>
      <c r="G81" s="574">
        <f>IF(D81=0,0,F81/D81)</f>
        <v>0</v>
      </c>
      <c r="H81" s="574">
        <f t="shared" si="6"/>
        <v>0</v>
      </c>
    </row>
    <row r="82" spans="1:8" s="369" customFormat="1" ht="13.5">
      <c r="A82" s="113"/>
      <c r="B82" s="35" t="s">
        <v>450</v>
      </c>
      <c r="C82" s="793">
        <f>SUM(C70,C76,C77,C78,C81)</f>
        <v>25634019</v>
      </c>
      <c r="D82" s="793">
        <f>SUM(D70,D76,D77,D78,D81)</f>
        <v>12083567</v>
      </c>
      <c r="E82" s="793">
        <f>SUM(E70,E76,E77,E78,E81)</f>
        <v>15686917</v>
      </c>
      <c r="F82" s="793">
        <f>SUM(F70,F76,F77,F78,F81)</f>
        <v>11649456</v>
      </c>
      <c r="G82" s="574">
        <f>IF(D82=0,0,F82/D82)</f>
        <v>0.9640742671431375</v>
      </c>
      <c r="H82" s="574">
        <f t="shared" si="6"/>
        <v>0.7426224031146464</v>
      </c>
    </row>
    <row r="83" spans="1:8" s="2" customFormat="1" ht="12" customHeight="1">
      <c r="A83" s="42" t="s">
        <v>335</v>
      </c>
      <c r="B83" s="38" t="s">
        <v>521</v>
      </c>
      <c r="C83" s="942">
        <v>20824</v>
      </c>
      <c r="D83" s="569">
        <v>0</v>
      </c>
      <c r="E83" s="569">
        <v>0</v>
      </c>
      <c r="F83" s="642">
        <v>0</v>
      </c>
      <c r="G83" s="781">
        <f aca="true" t="shared" si="7" ref="G83:G88">IF(D83=0,0,F83/D83)</f>
        <v>0</v>
      </c>
      <c r="H83" s="781">
        <f t="shared" si="6"/>
        <v>0</v>
      </c>
    </row>
    <row r="84" spans="1:8" s="2" customFormat="1" ht="12.75">
      <c r="A84" s="42" t="s">
        <v>336</v>
      </c>
      <c r="B84" s="38" t="s">
        <v>522</v>
      </c>
      <c r="C84" s="942">
        <v>112557</v>
      </c>
      <c r="D84" s="569">
        <v>0</v>
      </c>
      <c r="E84" s="569">
        <v>2766</v>
      </c>
      <c r="F84" s="642">
        <v>0</v>
      </c>
      <c r="G84" s="781">
        <f t="shared" si="7"/>
        <v>0</v>
      </c>
      <c r="H84" s="781">
        <f t="shared" si="6"/>
        <v>0</v>
      </c>
    </row>
    <row r="85" spans="1:8" s="2" customFormat="1" ht="12.75">
      <c r="A85" s="42" t="s">
        <v>339</v>
      </c>
      <c r="B85" s="38" t="s">
        <v>437</v>
      </c>
      <c r="C85" s="942">
        <v>0</v>
      </c>
      <c r="D85" s="569">
        <v>0</v>
      </c>
      <c r="E85" s="569">
        <v>456317</v>
      </c>
      <c r="F85" s="642">
        <v>0</v>
      </c>
      <c r="G85" s="781">
        <f>IF(D85=0,0,F85/D85)</f>
        <v>0</v>
      </c>
      <c r="H85" s="781">
        <f t="shared" si="6"/>
        <v>0</v>
      </c>
    </row>
    <row r="86" spans="1:8" s="2" customFormat="1" ht="12.75">
      <c r="A86" s="42" t="s">
        <v>599</v>
      </c>
      <c r="B86" s="38" t="s">
        <v>210</v>
      </c>
      <c r="C86" s="942">
        <v>0</v>
      </c>
      <c r="D86" s="569">
        <v>0</v>
      </c>
      <c r="E86" s="569">
        <v>2150899</v>
      </c>
      <c r="F86" s="642">
        <v>0</v>
      </c>
      <c r="G86" s="781">
        <f>IF(D86=0,0,F86/D86)</f>
        <v>0</v>
      </c>
      <c r="H86" s="781">
        <f t="shared" si="6"/>
        <v>0</v>
      </c>
    </row>
    <row r="87" spans="1:8" s="2" customFormat="1" ht="12.75">
      <c r="A87" s="42" t="s">
        <v>600</v>
      </c>
      <c r="B87" s="38" t="s">
        <v>617</v>
      </c>
      <c r="C87" s="942">
        <v>0</v>
      </c>
      <c r="D87" s="569">
        <f>D55-D82</f>
        <v>2997261</v>
      </c>
      <c r="E87" s="569">
        <v>765165</v>
      </c>
      <c r="F87" s="642">
        <f>F55-F82</f>
        <v>3779352</v>
      </c>
      <c r="G87" s="781">
        <f>IF(D87=0,0,F87/D87)</f>
        <v>1.260935233868522</v>
      </c>
      <c r="H87" s="781">
        <f t="shared" si="6"/>
        <v>4.9392640802964065</v>
      </c>
    </row>
    <row r="88" spans="1:8" s="369" customFormat="1" ht="27.75" customHeight="1">
      <c r="A88" s="651" t="s">
        <v>601</v>
      </c>
      <c r="B88" s="791" t="s">
        <v>596</v>
      </c>
      <c r="C88" s="793">
        <f>SUM(C83:C87)</f>
        <v>133381</v>
      </c>
      <c r="D88" s="793">
        <f>SUM(D83:D87)</f>
        <v>2997261</v>
      </c>
      <c r="E88" s="793">
        <f>SUM(E83:E87)</f>
        <v>3375147</v>
      </c>
      <c r="F88" s="793">
        <f>SUM(F83:F87)</f>
        <v>3779352</v>
      </c>
      <c r="G88" s="792">
        <f t="shared" si="7"/>
        <v>1.260935233868522</v>
      </c>
      <c r="H88" s="792">
        <v>0</v>
      </c>
    </row>
    <row r="89" spans="1:8" s="2" customFormat="1" ht="15" customHeight="1">
      <c r="A89" s="113"/>
      <c r="B89" s="114" t="s">
        <v>14</v>
      </c>
      <c r="C89" s="526">
        <f>SUM(C82,C88)</f>
        <v>25767400</v>
      </c>
      <c r="D89" s="526">
        <f>SUM(D82,D88)</f>
        <v>15080828</v>
      </c>
      <c r="E89" s="526">
        <f>SUM(E82,E88)</f>
        <v>19062064</v>
      </c>
      <c r="F89" s="526">
        <f>SUM(F82,F88)</f>
        <v>15428808</v>
      </c>
      <c r="G89" s="574">
        <f>IF(D89=0,0,F89/D89)</f>
        <v>1.0230743298710123</v>
      </c>
      <c r="H89" s="574">
        <f>IF(E89=0,0,F89/E89)</f>
        <v>0.8093986044743109</v>
      </c>
    </row>
    <row r="90" ht="12" customHeight="1">
      <c r="F90" s="525" t="s">
        <v>539</v>
      </c>
    </row>
  </sheetData>
  <mergeCells count="1">
    <mergeCell ref="A1:H1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CE,Normál"4.számú melléklet
</oddHeader>
    <oddFooter>&amp;L&amp;"Times New Roman CE,Normál"&amp;8&amp;F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R812"/>
  <sheetViews>
    <sheetView workbookViewId="0" topLeftCell="A208">
      <selection activeCell="F221" sqref="F221"/>
    </sheetView>
  </sheetViews>
  <sheetFormatPr defaultColWidth="9.140625" defaultRowHeight="12.75"/>
  <cols>
    <col min="1" max="1" width="3.421875" style="16" customWidth="1"/>
    <col min="2" max="2" width="2.00390625" style="17" customWidth="1"/>
    <col min="3" max="3" width="2.140625" style="17" customWidth="1"/>
    <col min="4" max="5" width="11.57421875" style="18" hidden="1" customWidth="1"/>
    <col min="6" max="6" width="38.28125" style="18" customWidth="1"/>
    <col min="7" max="7" width="10.00390625" style="997" customWidth="1"/>
    <col min="8" max="8" width="9.00390625" style="19" customWidth="1"/>
    <col min="9" max="9" width="9.140625" style="19" customWidth="1"/>
    <col min="10" max="10" width="10.28125" style="528" customWidth="1"/>
    <col min="11" max="11" width="8.421875" style="19" customWidth="1"/>
    <col min="12" max="12" width="8.28125" style="19" customWidth="1"/>
    <col min="13" max="70" width="9.140625" style="22" customWidth="1"/>
    <col min="71" max="16384" width="9.140625" style="15" customWidth="1"/>
  </cols>
  <sheetData>
    <row r="1" spans="1:12" ht="18" customHeight="1">
      <c r="A1" s="1367" t="s">
        <v>426</v>
      </c>
      <c r="B1" s="1367"/>
      <c r="C1" s="1367"/>
      <c r="D1" s="1367"/>
      <c r="E1" s="1367"/>
      <c r="F1" s="1367"/>
      <c r="G1" s="1367"/>
      <c r="H1" s="1367"/>
      <c r="I1" s="1367"/>
      <c r="J1" s="1367"/>
      <c r="K1" s="1367"/>
      <c r="L1" s="1367"/>
    </row>
    <row r="2" spans="1:12" ht="18" customHeight="1">
      <c r="A2" s="1367" t="s">
        <v>535</v>
      </c>
      <c r="B2" s="1367"/>
      <c r="C2" s="1367"/>
      <c r="D2" s="1367"/>
      <c r="E2" s="1367"/>
      <c r="F2" s="1367"/>
      <c r="G2" s="1367"/>
      <c r="H2" s="1367"/>
      <c r="I2" s="1367"/>
      <c r="J2" s="1367"/>
      <c r="K2" s="1367"/>
      <c r="L2" s="1367"/>
    </row>
    <row r="3" spans="1:12" ht="18" customHeight="1">
      <c r="A3" s="1367" t="s">
        <v>260</v>
      </c>
      <c r="B3" s="1367"/>
      <c r="C3" s="1367"/>
      <c r="D3" s="1367"/>
      <c r="E3" s="1367"/>
      <c r="F3" s="1367"/>
      <c r="G3" s="1367"/>
      <c r="H3" s="1367"/>
      <c r="I3" s="1367"/>
      <c r="J3" s="1367"/>
      <c r="K3" s="1367"/>
      <c r="L3" s="1367"/>
    </row>
    <row r="4" spans="1:12" ht="16.5" customHeight="1">
      <c r="A4" s="111"/>
      <c r="B4" s="12"/>
      <c r="C4" s="11"/>
      <c r="D4" s="13"/>
      <c r="E4" s="13"/>
      <c r="F4" s="13"/>
      <c r="G4" s="996"/>
      <c r="H4" s="14"/>
      <c r="I4" s="14"/>
      <c r="J4" s="527"/>
      <c r="K4" s="14"/>
      <c r="L4" s="14"/>
    </row>
    <row r="5" ht="18" customHeight="1">
      <c r="L5" s="110" t="s">
        <v>128</v>
      </c>
    </row>
    <row r="6" spans="1:70" s="94" customFormat="1" ht="38.25" customHeight="1">
      <c r="A6" s="1230" t="s">
        <v>169</v>
      </c>
      <c r="B6" s="290" t="s">
        <v>129</v>
      </c>
      <c r="C6" s="290"/>
      <c r="D6" s="291" t="s">
        <v>762</v>
      </c>
      <c r="E6" s="291" t="s">
        <v>939</v>
      </c>
      <c r="F6" s="292"/>
      <c r="G6" s="1122" t="s">
        <v>257</v>
      </c>
      <c r="H6" s="563" t="s">
        <v>911</v>
      </c>
      <c r="I6" s="563" t="s">
        <v>258</v>
      </c>
      <c r="J6" s="988" t="s">
        <v>249</v>
      </c>
      <c r="K6" s="723" t="s">
        <v>259</v>
      </c>
      <c r="L6" s="723" t="s">
        <v>259</v>
      </c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</row>
    <row r="7" spans="1:70" s="94" customFormat="1" ht="9.75" customHeight="1">
      <c r="A7" s="326" t="s">
        <v>524</v>
      </c>
      <c r="B7" s="327" t="s">
        <v>525</v>
      </c>
      <c r="C7" s="327"/>
      <c r="D7" s="322" t="s">
        <v>130</v>
      </c>
      <c r="E7" s="322" t="s">
        <v>760</v>
      </c>
      <c r="F7" s="323"/>
      <c r="G7" s="942" t="s">
        <v>526</v>
      </c>
      <c r="H7" s="32" t="s">
        <v>729</v>
      </c>
      <c r="I7" s="32" t="s">
        <v>730</v>
      </c>
      <c r="J7" s="1024" t="s">
        <v>731</v>
      </c>
      <c r="K7" s="724" t="s">
        <v>250</v>
      </c>
      <c r="L7" s="724" t="s">
        <v>251</v>
      </c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3"/>
    </row>
    <row r="8" spans="1:70" s="23" customFormat="1" ht="13.5" customHeight="1">
      <c r="A8" s="269" t="s">
        <v>524</v>
      </c>
      <c r="B8" s="208" t="s">
        <v>940</v>
      </c>
      <c r="C8" s="205"/>
      <c r="D8" s="206">
        <f>SUM(D9:D11)</f>
        <v>45957</v>
      </c>
      <c r="E8" s="206">
        <f>SUM(E9:E11)</f>
        <v>42105</v>
      </c>
      <c r="F8" s="207"/>
      <c r="G8" s="123">
        <f>SUM(G9:G13)</f>
        <v>254449</v>
      </c>
      <c r="H8" s="123">
        <f>SUM(H9:H13)</f>
        <v>356486</v>
      </c>
      <c r="I8" s="123">
        <f>SUM(I9:I13)</f>
        <v>632516</v>
      </c>
      <c r="J8" s="123">
        <f>SUM(J9:J13)</f>
        <v>373788</v>
      </c>
      <c r="K8" s="121">
        <f aca="true" t="shared" si="0" ref="K8:K41">IF(H8=0,0,J8/H8)</f>
        <v>1.0485348653243045</v>
      </c>
      <c r="L8" s="121">
        <f aca="true" t="shared" si="1" ref="L8:L58">IF(I8=0,0,J8/I8)</f>
        <v>0.5909542209208937</v>
      </c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</row>
    <row r="9" spans="1:12" ht="13.5" customHeight="1">
      <c r="A9" s="270"/>
      <c r="B9" s="75"/>
      <c r="C9" s="75" t="s">
        <v>681</v>
      </c>
      <c r="D9" s="77">
        <v>45957</v>
      </c>
      <c r="E9" s="78">
        <v>42105</v>
      </c>
      <c r="F9" s="200"/>
      <c r="G9" s="200">
        <v>148978</v>
      </c>
      <c r="H9" s="552">
        <v>248932</v>
      </c>
      <c r="I9" s="552">
        <v>255675</v>
      </c>
      <c r="J9" s="1025">
        <v>252300</v>
      </c>
      <c r="K9" s="122">
        <f t="shared" si="0"/>
        <v>1.0135297993026209</v>
      </c>
      <c r="L9" s="122">
        <f t="shared" si="1"/>
        <v>0.986799647990613</v>
      </c>
    </row>
    <row r="10" spans="1:12" ht="13.5" customHeight="1">
      <c r="A10" s="270"/>
      <c r="B10" s="75"/>
      <c r="C10" s="75" t="s">
        <v>482</v>
      </c>
      <c r="D10" s="77"/>
      <c r="E10" s="78"/>
      <c r="F10" s="200"/>
      <c r="G10" s="200">
        <v>81225</v>
      </c>
      <c r="H10" s="552">
        <v>85754</v>
      </c>
      <c r="I10" s="552">
        <v>91739</v>
      </c>
      <c r="J10" s="1025">
        <v>93688</v>
      </c>
      <c r="K10" s="122">
        <f t="shared" si="0"/>
        <v>1.0925204655176435</v>
      </c>
      <c r="L10" s="122">
        <f t="shared" si="1"/>
        <v>1.0212450539029203</v>
      </c>
    </row>
    <row r="11" spans="1:12" ht="13.5" customHeight="1">
      <c r="A11" s="270"/>
      <c r="B11" s="79"/>
      <c r="C11" s="79" t="s">
        <v>465</v>
      </c>
      <c r="D11" s="77">
        <v>0</v>
      </c>
      <c r="E11" s="78"/>
      <c r="F11" s="200"/>
      <c r="G11" s="200">
        <v>24246</v>
      </c>
      <c r="H11" s="552">
        <v>10000</v>
      </c>
      <c r="I11" s="552">
        <v>214736</v>
      </c>
      <c r="J11" s="1025">
        <v>0</v>
      </c>
      <c r="K11" s="122">
        <f t="shared" si="0"/>
        <v>0</v>
      </c>
      <c r="L11" s="383">
        <f t="shared" si="1"/>
        <v>0</v>
      </c>
    </row>
    <row r="12" spans="1:12" ht="13.5" customHeight="1">
      <c r="A12" s="270"/>
      <c r="B12" s="79"/>
      <c r="C12" s="79" t="s">
        <v>683</v>
      </c>
      <c r="D12" s="77"/>
      <c r="E12" s="78"/>
      <c r="F12" s="200"/>
      <c r="G12" s="200">
        <v>0</v>
      </c>
      <c r="H12" s="552">
        <v>0</v>
      </c>
      <c r="I12" s="552">
        <v>0</v>
      </c>
      <c r="J12" s="1025">
        <v>0</v>
      </c>
      <c r="K12" s="122">
        <f t="shared" si="0"/>
        <v>0</v>
      </c>
      <c r="L12" s="122">
        <f t="shared" si="1"/>
        <v>0</v>
      </c>
    </row>
    <row r="13" spans="1:12" ht="13.5" customHeight="1">
      <c r="A13" s="270"/>
      <c r="B13" s="79"/>
      <c r="C13" s="79" t="s">
        <v>467</v>
      </c>
      <c r="D13" s="77"/>
      <c r="E13" s="78"/>
      <c r="F13" s="200"/>
      <c r="G13" s="200">
        <v>0</v>
      </c>
      <c r="H13" s="389">
        <v>11800</v>
      </c>
      <c r="I13" s="389">
        <v>70366</v>
      </c>
      <c r="J13" s="1026">
        <v>27800</v>
      </c>
      <c r="K13" s="122">
        <f t="shared" si="0"/>
        <v>2.3559322033898304</v>
      </c>
      <c r="L13" s="122">
        <f t="shared" si="1"/>
        <v>0.39507716795043063</v>
      </c>
    </row>
    <row r="14" spans="1:70" s="23" customFormat="1" ht="13.5" customHeight="1">
      <c r="A14" s="269" t="s">
        <v>525</v>
      </c>
      <c r="B14" s="208" t="s">
        <v>606</v>
      </c>
      <c r="C14" s="205"/>
      <c r="D14" s="206">
        <f>SUM(D16:D19)</f>
        <v>0</v>
      </c>
      <c r="E14" s="206">
        <f>SUM(E16:E19)</f>
        <v>0</v>
      </c>
      <c r="F14" s="207"/>
      <c r="G14" s="123">
        <f>SUM(G15:G17)</f>
        <v>19644</v>
      </c>
      <c r="H14" s="123">
        <f>SUM(H15:H17)</f>
        <v>0</v>
      </c>
      <c r="I14" s="123">
        <f>SUM(I15:I17)</f>
        <v>594397</v>
      </c>
      <c r="J14" s="123">
        <f>SUM(J15:J17)</f>
        <v>550</v>
      </c>
      <c r="K14" s="121">
        <f t="shared" si="0"/>
        <v>0</v>
      </c>
      <c r="L14" s="121">
        <f>IF(I14=0,0,J14/I14)</f>
        <v>0.0009253074965048612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</row>
    <row r="15" spans="1:70" s="23" customFormat="1" ht="13.5" customHeight="1">
      <c r="A15" s="269"/>
      <c r="B15" s="208"/>
      <c r="C15" s="75" t="s">
        <v>681</v>
      </c>
      <c r="D15" s="206"/>
      <c r="E15" s="206"/>
      <c r="F15" s="207"/>
      <c r="G15" s="207">
        <v>2429</v>
      </c>
      <c r="H15" s="389">
        <v>0</v>
      </c>
      <c r="I15" s="389">
        <v>0</v>
      </c>
      <c r="J15" s="1026">
        <v>0</v>
      </c>
      <c r="K15" s="122">
        <f t="shared" si="0"/>
        <v>0</v>
      </c>
      <c r="L15" s="122">
        <f>IF(I15=0,0,J15/I15)</f>
        <v>0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</row>
    <row r="16" spans="1:12" ht="13.5" customHeight="1">
      <c r="A16" s="270"/>
      <c r="B16" s="79"/>
      <c r="C16" s="79" t="s">
        <v>467</v>
      </c>
      <c r="D16" s="77"/>
      <c r="E16" s="78"/>
      <c r="F16" s="200"/>
      <c r="G16" s="200">
        <v>16997</v>
      </c>
      <c r="H16" s="389">
        <v>0</v>
      </c>
      <c r="I16" s="389">
        <v>593555</v>
      </c>
      <c r="J16" s="1026">
        <v>0</v>
      </c>
      <c r="K16" s="122">
        <f t="shared" si="0"/>
        <v>0</v>
      </c>
      <c r="L16" s="122">
        <f>IF(I16=0,0,J16/I16)</f>
        <v>0</v>
      </c>
    </row>
    <row r="17" spans="1:12" ht="13.5" customHeight="1">
      <c r="A17" s="270"/>
      <c r="B17" s="79"/>
      <c r="C17" s="228" t="s">
        <v>483</v>
      </c>
      <c r="D17" s="77"/>
      <c r="E17" s="78"/>
      <c r="F17" s="200"/>
      <c r="G17" s="200">
        <v>218</v>
      </c>
      <c r="H17" s="389">
        <v>0</v>
      </c>
      <c r="I17" s="389">
        <v>842</v>
      </c>
      <c r="J17" s="1026">
        <v>550</v>
      </c>
      <c r="K17" s="122">
        <f t="shared" si="0"/>
        <v>0</v>
      </c>
      <c r="L17" s="122">
        <f>IF(I17=0,0,J17/I17)</f>
        <v>0.6532066508313539</v>
      </c>
    </row>
    <row r="18" spans="1:70" s="23" customFormat="1" ht="13.5" customHeight="1">
      <c r="A18" s="269" t="s">
        <v>526</v>
      </c>
      <c r="B18" s="87" t="s">
        <v>464</v>
      </c>
      <c r="C18" s="83"/>
      <c r="D18" s="84"/>
      <c r="E18" s="84"/>
      <c r="F18" s="201"/>
      <c r="G18" s="998">
        <f>SUM(G19:G20)</f>
        <v>376476</v>
      </c>
      <c r="H18" s="124">
        <f>SUM(H19:H20)</f>
        <v>129326</v>
      </c>
      <c r="I18" s="124">
        <f>SUM(I19:I20)</f>
        <v>900966</v>
      </c>
      <c r="J18" s="124">
        <f>SUM(J19:J20)</f>
        <v>116752</v>
      </c>
      <c r="K18" s="121">
        <f t="shared" si="0"/>
        <v>0.9027728376351236</v>
      </c>
      <c r="L18" s="121">
        <f t="shared" si="1"/>
        <v>0.1295853561621637</v>
      </c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</row>
    <row r="19" spans="1:12" ht="13.5" customHeight="1">
      <c r="A19" s="270"/>
      <c r="B19" s="75"/>
      <c r="C19" s="75" t="s">
        <v>466</v>
      </c>
      <c r="D19" s="80"/>
      <c r="E19" s="80"/>
      <c r="F19" s="81"/>
      <c r="G19" s="999">
        <v>187080</v>
      </c>
      <c r="H19" s="552">
        <v>0</v>
      </c>
      <c r="I19" s="552">
        <v>251778</v>
      </c>
      <c r="J19" s="1025">
        <v>0</v>
      </c>
      <c r="K19" s="122">
        <f t="shared" si="0"/>
        <v>0</v>
      </c>
      <c r="L19" s="122">
        <f t="shared" si="1"/>
        <v>0</v>
      </c>
    </row>
    <row r="20" spans="1:12" ht="13.5" customHeight="1">
      <c r="A20" s="270"/>
      <c r="B20" s="75"/>
      <c r="C20" s="75" t="s">
        <v>467</v>
      </c>
      <c r="D20" s="80"/>
      <c r="E20" s="80"/>
      <c r="F20" s="81"/>
      <c r="G20" s="999">
        <v>189396</v>
      </c>
      <c r="H20" s="552">
        <v>129326</v>
      </c>
      <c r="I20" s="552">
        <v>649188</v>
      </c>
      <c r="J20" s="1025">
        <v>116752</v>
      </c>
      <c r="K20" s="122">
        <f t="shared" si="0"/>
        <v>0.9027728376351236</v>
      </c>
      <c r="L20" s="122">
        <f t="shared" si="1"/>
        <v>0.17984312710647762</v>
      </c>
    </row>
    <row r="21" spans="1:70" s="23" customFormat="1" ht="13.5" customHeight="1">
      <c r="A21" s="269" t="s">
        <v>729</v>
      </c>
      <c r="B21" s="87" t="s">
        <v>170</v>
      </c>
      <c r="C21" s="71"/>
      <c r="D21" s="72">
        <f>SUM(D22:D22)</f>
        <v>62700</v>
      </c>
      <c r="E21" s="72">
        <f>SUM(E22:E22)</f>
        <v>42800</v>
      </c>
      <c r="F21" s="73"/>
      <c r="G21" s="123">
        <f>SUM(G22)</f>
        <v>202236</v>
      </c>
      <c r="H21" s="123">
        <f>SUM(H22)</f>
        <v>360000</v>
      </c>
      <c r="I21" s="123">
        <f>SUM(I22)</f>
        <v>385232</v>
      </c>
      <c r="J21" s="123">
        <f>SUM(J22:J23)</f>
        <v>389598</v>
      </c>
      <c r="K21" s="121">
        <f t="shared" si="0"/>
        <v>1.0822166666666666</v>
      </c>
      <c r="L21" s="121">
        <f t="shared" si="1"/>
        <v>1.0113334302446317</v>
      </c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</row>
    <row r="22" spans="1:12" ht="13.5" customHeight="1">
      <c r="A22" s="270"/>
      <c r="B22" s="75"/>
      <c r="C22" s="75" t="s">
        <v>681</v>
      </c>
      <c r="D22" s="77">
        <v>62700</v>
      </c>
      <c r="E22" s="78">
        <v>42800</v>
      </c>
      <c r="F22" s="200"/>
      <c r="G22" s="200">
        <v>202236</v>
      </c>
      <c r="H22" s="552">
        <v>360000</v>
      </c>
      <c r="I22" s="552">
        <v>385232</v>
      </c>
      <c r="J22" s="1025">
        <v>342600</v>
      </c>
      <c r="K22" s="122">
        <f t="shared" si="0"/>
        <v>0.9516666666666667</v>
      </c>
      <c r="L22" s="122">
        <f t="shared" si="1"/>
        <v>0.8893342193794908</v>
      </c>
    </row>
    <row r="23" spans="1:12" ht="13.5" customHeight="1">
      <c r="A23" s="270"/>
      <c r="B23" s="218"/>
      <c r="C23" s="75" t="s">
        <v>482</v>
      </c>
      <c r="D23" s="229"/>
      <c r="E23" s="230"/>
      <c r="F23" s="231"/>
      <c r="G23" s="200">
        <v>0</v>
      </c>
      <c r="H23" s="389">
        <v>0</v>
      </c>
      <c r="I23" s="389">
        <v>0</v>
      </c>
      <c r="J23" s="1026">
        <v>46998</v>
      </c>
      <c r="K23" s="122">
        <f t="shared" si="0"/>
        <v>0</v>
      </c>
      <c r="L23" s="122">
        <f t="shared" si="1"/>
        <v>0</v>
      </c>
    </row>
    <row r="24" spans="1:70" s="23" customFormat="1" ht="13.5" customHeight="1">
      <c r="A24" s="269" t="s">
        <v>730</v>
      </c>
      <c r="B24" s="209" t="s">
        <v>941</v>
      </c>
      <c r="C24" s="210"/>
      <c r="D24" s="211" t="e">
        <f>SUM(D25:D32)-D26</f>
        <v>#REF!</v>
      </c>
      <c r="E24" s="211" t="e">
        <f>SUM(E25:E32)-E26</f>
        <v>#REF!</v>
      </c>
      <c r="F24" s="212"/>
      <c r="G24" s="998">
        <f>SUM(G31:G32,G26,G25)</f>
        <v>15486</v>
      </c>
      <c r="H24" s="124">
        <f>SUM(H31:H32,H26,H25)</f>
        <v>10814</v>
      </c>
      <c r="I24" s="124">
        <f>SUM(I31:I32,I26,I25)</f>
        <v>10768</v>
      </c>
      <c r="J24" s="124">
        <f>SUM(J31:J32,J26,J25)</f>
        <v>11335</v>
      </c>
      <c r="K24" s="121">
        <f t="shared" si="0"/>
        <v>1.0481782874052155</v>
      </c>
      <c r="L24" s="121">
        <f t="shared" si="1"/>
        <v>1.0526560178306092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</row>
    <row r="25" spans="1:12" ht="13.5" customHeight="1">
      <c r="A25" s="270"/>
      <c r="B25" s="217"/>
      <c r="C25" s="218" t="s">
        <v>679</v>
      </c>
      <c r="D25" s="219">
        <v>1388</v>
      </c>
      <c r="E25" s="220">
        <v>1419</v>
      </c>
      <c r="F25" s="221"/>
      <c r="G25" s="1000">
        <v>4169</v>
      </c>
      <c r="H25" s="552">
        <v>4604</v>
      </c>
      <c r="I25" s="552">
        <v>4584</v>
      </c>
      <c r="J25" s="1025">
        <v>4943</v>
      </c>
      <c r="K25" s="122">
        <f t="shared" si="0"/>
        <v>1.0736316246741964</v>
      </c>
      <c r="L25" s="122">
        <f t="shared" si="1"/>
        <v>1.0783158813263525</v>
      </c>
    </row>
    <row r="26" spans="1:12" ht="13.5" customHeight="1">
      <c r="A26" s="270"/>
      <c r="B26" s="217"/>
      <c r="C26" s="218" t="s">
        <v>680</v>
      </c>
      <c r="D26" s="219" t="e">
        <f>SUM(#REF!)</f>
        <v>#REF!</v>
      </c>
      <c r="E26" s="219" t="e">
        <f>SUM(#REF!)</f>
        <v>#REF!</v>
      </c>
      <c r="F26" s="223"/>
      <c r="G26" s="1001">
        <f>SUM(G27:G30)</f>
        <v>1286</v>
      </c>
      <c r="H26" s="553">
        <f>SUM(H27:H30)</f>
        <v>1353</v>
      </c>
      <c r="I26" s="553">
        <f>SUM(I27:I30)</f>
        <v>1339</v>
      </c>
      <c r="J26" s="1027">
        <f>SUM(J27:J30)</f>
        <v>1477</v>
      </c>
      <c r="K26" s="122">
        <f t="shared" si="0"/>
        <v>1.0916481892091647</v>
      </c>
      <c r="L26" s="122">
        <f t="shared" si="1"/>
        <v>1.1030619865571323</v>
      </c>
    </row>
    <row r="27" spans="1:12" ht="13.5" customHeight="1">
      <c r="A27" s="270"/>
      <c r="B27" s="217"/>
      <c r="C27" s="218"/>
      <c r="D27" s="219"/>
      <c r="E27" s="219"/>
      <c r="F27" s="455" t="s">
        <v>316</v>
      </c>
      <c r="G27" s="1002">
        <v>1074</v>
      </c>
      <c r="H27" s="553">
        <v>1170</v>
      </c>
      <c r="I27" s="553">
        <v>1168</v>
      </c>
      <c r="J27" s="1027">
        <v>1278</v>
      </c>
      <c r="K27" s="122">
        <f t="shared" si="0"/>
        <v>1.0923076923076922</v>
      </c>
      <c r="L27" s="122">
        <f>IF(I27=0,0,J27/I27)</f>
        <v>1.0941780821917808</v>
      </c>
    </row>
    <row r="28" spans="1:12" ht="13.5" customHeight="1">
      <c r="A28" s="270"/>
      <c r="B28" s="217"/>
      <c r="C28" s="218"/>
      <c r="D28" s="219"/>
      <c r="E28" s="219"/>
      <c r="F28" s="455" t="s">
        <v>198</v>
      </c>
      <c r="G28" s="1002">
        <v>92</v>
      </c>
      <c r="H28" s="553">
        <v>98</v>
      </c>
      <c r="I28" s="553">
        <v>102</v>
      </c>
      <c r="J28" s="1027">
        <v>109</v>
      </c>
      <c r="K28" s="122">
        <f t="shared" si="0"/>
        <v>1.1122448979591837</v>
      </c>
      <c r="L28" s="122">
        <f>IF(I28=0,0,J28/I28)</f>
        <v>1.0686274509803921</v>
      </c>
    </row>
    <row r="29" spans="1:12" ht="13.5" customHeight="1">
      <c r="A29" s="270"/>
      <c r="B29" s="217"/>
      <c r="C29" s="218"/>
      <c r="D29" s="219"/>
      <c r="E29" s="219"/>
      <c r="F29" s="455" t="s">
        <v>199</v>
      </c>
      <c r="G29" s="1002">
        <v>120</v>
      </c>
      <c r="H29" s="553">
        <v>65</v>
      </c>
      <c r="I29" s="553">
        <v>69</v>
      </c>
      <c r="J29" s="1027">
        <v>70</v>
      </c>
      <c r="K29" s="122">
        <f t="shared" si="0"/>
        <v>1.0769230769230769</v>
      </c>
      <c r="L29" s="122">
        <f>IF(I29=0,0,J29/I29)</f>
        <v>1.0144927536231885</v>
      </c>
    </row>
    <row r="30" spans="1:12" ht="13.5" customHeight="1">
      <c r="A30" s="270"/>
      <c r="B30" s="217"/>
      <c r="C30" s="218"/>
      <c r="D30" s="219"/>
      <c r="E30" s="219"/>
      <c r="F30" s="455" t="s">
        <v>315</v>
      </c>
      <c r="G30" s="1002">
        <v>0</v>
      </c>
      <c r="H30" s="553">
        <v>20</v>
      </c>
      <c r="I30" s="553">
        <v>0</v>
      </c>
      <c r="J30" s="1027">
        <v>20</v>
      </c>
      <c r="K30" s="122">
        <f t="shared" si="0"/>
        <v>1</v>
      </c>
      <c r="L30" s="122">
        <f>IF(I30=0,0,J30/I30)</f>
        <v>0</v>
      </c>
    </row>
    <row r="31" spans="1:12" ht="13.5" customHeight="1">
      <c r="A31" s="270"/>
      <c r="B31" s="217"/>
      <c r="C31" s="218" t="s">
        <v>681</v>
      </c>
      <c r="D31" s="219">
        <v>2125</v>
      </c>
      <c r="E31" s="220">
        <v>1738</v>
      </c>
      <c r="F31" s="221"/>
      <c r="G31" s="1000">
        <v>4661</v>
      </c>
      <c r="H31" s="552">
        <v>4605</v>
      </c>
      <c r="I31" s="552">
        <v>4845</v>
      </c>
      <c r="J31" s="1025">
        <v>4915</v>
      </c>
      <c r="K31" s="122">
        <f t="shared" si="0"/>
        <v>1.0673181324647123</v>
      </c>
      <c r="L31" s="122">
        <f t="shared" si="1"/>
        <v>1.0144478844169247</v>
      </c>
    </row>
    <row r="32" spans="1:12" ht="13.5" customHeight="1">
      <c r="A32" s="270"/>
      <c r="B32" s="224"/>
      <c r="C32" s="79" t="s">
        <v>177</v>
      </c>
      <c r="D32" s="225">
        <v>450</v>
      </c>
      <c r="E32" s="226">
        <v>431</v>
      </c>
      <c r="F32" s="227"/>
      <c r="G32" s="227">
        <v>5370</v>
      </c>
      <c r="H32" s="552">
        <v>252</v>
      </c>
      <c r="I32" s="552">
        <v>0</v>
      </c>
      <c r="J32" s="1025">
        <v>0</v>
      </c>
      <c r="K32" s="122">
        <f t="shared" si="0"/>
        <v>0</v>
      </c>
      <c r="L32" s="122">
        <f t="shared" si="1"/>
        <v>0</v>
      </c>
    </row>
    <row r="33" spans="1:70" s="23" customFormat="1" ht="13.5" customHeight="1">
      <c r="A33" s="269" t="s">
        <v>731</v>
      </c>
      <c r="B33" s="208" t="s">
        <v>171</v>
      </c>
      <c r="C33" s="205"/>
      <c r="D33" s="206">
        <f>SUM(D36:D36)</f>
        <v>10228</v>
      </c>
      <c r="E33" s="206">
        <f>SUM(E36:E36)</f>
        <v>4176</v>
      </c>
      <c r="F33" s="207"/>
      <c r="G33" s="123">
        <f>SUM(G34:G37)</f>
        <v>30678</v>
      </c>
      <c r="H33" s="123">
        <f>SUM(H34:H37)</f>
        <v>36378</v>
      </c>
      <c r="I33" s="123">
        <f>SUM(I34:I37)</f>
        <v>57658</v>
      </c>
      <c r="J33" s="123">
        <f>SUM(J34:J37)</f>
        <v>38409</v>
      </c>
      <c r="K33" s="121">
        <f t="shared" si="0"/>
        <v>1.0558304469734454</v>
      </c>
      <c r="L33" s="121">
        <f t="shared" si="1"/>
        <v>0.6661521384716779</v>
      </c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</row>
    <row r="34" spans="1:70" s="23" customFormat="1" ht="13.5" customHeight="1">
      <c r="A34" s="269"/>
      <c r="B34" s="75"/>
      <c r="C34" s="75" t="s">
        <v>681</v>
      </c>
      <c r="D34" s="72"/>
      <c r="E34" s="72"/>
      <c r="F34" s="73"/>
      <c r="G34" s="73">
        <v>4523</v>
      </c>
      <c r="H34" s="552">
        <v>22378</v>
      </c>
      <c r="I34" s="552">
        <v>5724</v>
      </c>
      <c r="J34" s="1025">
        <v>28000</v>
      </c>
      <c r="K34" s="122">
        <f t="shared" si="0"/>
        <v>1.251228885512557</v>
      </c>
      <c r="L34" s="122">
        <f t="shared" si="1"/>
        <v>4.8916841369671555</v>
      </c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</row>
    <row r="35" spans="1:70" s="23" customFormat="1" ht="13.5" customHeight="1">
      <c r="A35" s="269"/>
      <c r="B35" s="218"/>
      <c r="C35" s="75" t="s">
        <v>482</v>
      </c>
      <c r="D35" s="1115"/>
      <c r="E35" s="1115"/>
      <c r="F35" s="1116"/>
      <c r="G35" s="1116">
        <v>0</v>
      </c>
      <c r="H35" s="552">
        <v>0</v>
      </c>
      <c r="I35" s="552">
        <v>0</v>
      </c>
      <c r="J35" s="1025">
        <v>10409</v>
      </c>
      <c r="K35" s="122">
        <f t="shared" si="0"/>
        <v>0</v>
      </c>
      <c r="L35" s="122">
        <f t="shared" si="1"/>
        <v>0</v>
      </c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</row>
    <row r="36" spans="1:70" s="20" customFormat="1" ht="13.5" customHeight="1">
      <c r="A36" s="271"/>
      <c r="B36" s="228"/>
      <c r="C36" s="228" t="s">
        <v>483</v>
      </c>
      <c r="D36" s="229">
        <v>10228</v>
      </c>
      <c r="E36" s="230">
        <v>4176</v>
      </c>
      <c r="F36" s="231"/>
      <c r="G36" s="231">
        <v>19905</v>
      </c>
      <c r="H36" s="552">
        <v>11000</v>
      </c>
      <c r="I36" s="552">
        <v>44100</v>
      </c>
      <c r="J36" s="1025">
        <v>0</v>
      </c>
      <c r="K36" s="122">
        <f t="shared" si="0"/>
        <v>0</v>
      </c>
      <c r="L36" s="122">
        <f t="shared" si="1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</row>
    <row r="37" spans="1:70" s="20" customFormat="1" ht="13.5" customHeight="1">
      <c r="A37" s="271"/>
      <c r="B37" s="235"/>
      <c r="C37" s="99" t="s">
        <v>467</v>
      </c>
      <c r="D37" s="225"/>
      <c r="E37" s="226"/>
      <c r="F37" s="227"/>
      <c r="G37" s="227">
        <v>6250</v>
      </c>
      <c r="H37" s="552">
        <v>3000</v>
      </c>
      <c r="I37" s="552">
        <v>7834</v>
      </c>
      <c r="J37" s="1025">
        <v>0</v>
      </c>
      <c r="K37" s="122">
        <f t="shared" si="0"/>
        <v>0</v>
      </c>
      <c r="L37" s="383">
        <f t="shared" si="1"/>
        <v>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</row>
    <row r="38" spans="1:70" s="23" customFormat="1" ht="13.5" customHeight="1">
      <c r="A38" s="269" t="s">
        <v>732</v>
      </c>
      <c r="B38" s="208" t="s">
        <v>751</v>
      </c>
      <c r="C38" s="232"/>
      <c r="D38" s="233">
        <f>SUM(D39:D39)</f>
        <v>25000</v>
      </c>
      <c r="E38" s="233">
        <f>SUM(E39:E39)</f>
        <v>30519</v>
      </c>
      <c r="F38" s="234"/>
      <c r="G38" s="998">
        <f>SUM(G39:G42)</f>
        <v>131240</v>
      </c>
      <c r="H38" s="124">
        <f>SUM(H39:H42)</f>
        <v>24600</v>
      </c>
      <c r="I38" s="124">
        <f>SUM(I39:I42)</f>
        <v>22328</v>
      </c>
      <c r="J38" s="124">
        <f>SUM(J39:J42)</f>
        <v>75400</v>
      </c>
      <c r="K38" s="121">
        <f t="shared" si="0"/>
        <v>3.065040650406504</v>
      </c>
      <c r="L38" s="121">
        <f t="shared" si="1"/>
        <v>3.3769258330347545</v>
      </c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</row>
    <row r="39" spans="1:12" ht="13.5" customHeight="1">
      <c r="A39" s="270"/>
      <c r="B39" s="75"/>
      <c r="C39" s="75" t="s">
        <v>681</v>
      </c>
      <c r="D39" s="80">
        <v>25000</v>
      </c>
      <c r="E39" s="85">
        <v>30519</v>
      </c>
      <c r="F39" s="202"/>
      <c r="G39" s="1003">
        <v>10117</v>
      </c>
      <c r="H39" s="552">
        <v>10000</v>
      </c>
      <c r="I39" s="552">
        <v>7596</v>
      </c>
      <c r="J39" s="1025">
        <v>17900</v>
      </c>
      <c r="K39" s="122">
        <f t="shared" si="0"/>
        <v>1.79</v>
      </c>
      <c r="L39" s="122">
        <f t="shared" si="1"/>
        <v>2.356503422854134</v>
      </c>
    </row>
    <row r="40" spans="1:12" ht="13.5" customHeight="1">
      <c r="A40" s="270"/>
      <c r="B40" s="79"/>
      <c r="C40" s="79" t="s">
        <v>944</v>
      </c>
      <c r="D40" s="80"/>
      <c r="E40" s="85"/>
      <c r="F40" s="202"/>
      <c r="G40" s="1003">
        <v>0</v>
      </c>
      <c r="H40" s="552">
        <v>0</v>
      </c>
      <c r="I40" s="552">
        <v>0</v>
      </c>
      <c r="J40" s="1025">
        <v>0</v>
      </c>
      <c r="K40" s="122">
        <f t="shared" si="0"/>
        <v>0</v>
      </c>
      <c r="L40" s="122">
        <f t="shared" si="1"/>
        <v>0</v>
      </c>
    </row>
    <row r="41" spans="1:12" ht="13.5" customHeight="1">
      <c r="A41" s="270"/>
      <c r="B41" s="79"/>
      <c r="C41" s="228" t="s">
        <v>483</v>
      </c>
      <c r="D41" s="80"/>
      <c r="E41" s="85"/>
      <c r="F41" s="202"/>
      <c r="G41" s="1003">
        <v>0</v>
      </c>
      <c r="H41" s="552">
        <v>0</v>
      </c>
      <c r="I41" s="552">
        <v>0</v>
      </c>
      <c r="J41" s="1025">
        <v>0</v>
      </c>
      <c r="K41" s="122">
        <f t="shared" si="0"/>
        <v>0</v>
      </c>
      <c r="L41" s="122">
        <f>IF(I41=0,0,J41/I41)</f>
        <v>0</v>
      </c>
    </row>
    <row r="42" spans="1:12" ht="13.5" customHeight="1">
      <c r="A42" s="270"/>
      <c r="B42" s="79"/>
      <c r="C42" s="79" t="s">
        <v>467</v>
      </c>
      <c r="D42" s="80"/>
      <c r="E42" s="85"/>
      <c r="F42" s="202"/>
      <c r="G42" s="1003">
        <v>121123</v>
      </c>
      <c r="H42" s="552">
        <v>14600</v>
      </c>
      <c r="I42" s="552">
        <v>14732</v>
      </c>
      <c r="J42" s="1025">
        <v>57500</v>
      </c>
      <c r="K42" s="122">
        <f aca="true" t="shared" si="2" ref="K42:K58">IF(H42=0,0,J42/H42)</f>
        <v>3.9383561643835616</v>
      </c>
      <c r="L42" s="122">
        <f t="shared" si="1"/>
        <v>3.9030681509638883</v>
      </c>
    </row>
    <row r="43" spans="1:70" s="23" customFormat="1" ht="13.5" customHeight="1">
      <c r="A43" s="269" t="s">
        <v>733</v>
      </c>
      <c r="B43" s="87" t="s">
        <v>942</v>
      </c>
      <c r="C43" s="71"/>
      <c r="D43" s="72" t="e">
        <f>SUM(D44:D50)-D45</f>
        <v>#REF!</v>
      </c>
      <c r="E43" s="72" t="e">
        <f>SUM(E44:E50)-E45</f>
        <v>#REF!</v>
      </c>
      <c r="F43" s="73"/>
      <c r="G43" s="123">
        <f>SUM(G50,G45,G44,G51)</f>
        <v>4631</v>
      </c>
      <c r="H43" s="123">
        <f>SUM(H50,H45,H44,H51)</f>
        <v>5211</v>
      </c>
      <c r="I43" s="123">
        <f>SUM(I50,I45,I44,I51)</f>
        <v>4548</v>
      </c>
      <c r="J43" s="123">
        <f>SUM(J50,J45,J44,J51)</f>
        <v>0</v>
      </c>
      <c r="K43" s="121">
        <f t="shared" si="2"/>
        <v>0</v>
      </c>
      <c r="L43" s="121">
        <f t="shared" si="1"/>
        <v>0</v>
      </c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</row>
    <row r="44" spans="1:12" ht="13.5" customHeight="1">
      <c r="A44" s="270"/>
      <c r="B44" s="75"/>
      <c r="C44" s="75" t="s">
        <v>679</v>
      </c>
      <c r="D44" s="77">
        <v>1535</v>
      </c>
      <c r="E44" s="78">
        <v>1125</v>
      </c>
      <c r="F44" s="200"/>
      <c r="G44" s="200">
        <v>3213</v>
      </c>
      <c r="H44" s="552">
        <v>3667</v>
      </c>
      <c r="I44" s="552">
        <v>3293</v>
      </c>
      <c r="J44" s="1025">
        <v>0</v>
      </c>
      <c r="K44" s="122">
        <f t="shared" si="2"/>
        <v>0</v>
      </c>
      <c r="L44" s="122">
        <f t="shared" si="1"/>
        <v>0</v>
      </c>
    </row>
    <row r="45" spans="1:12" ht="13.5" customHeight="1">
      <c r="A45" s="270"/>
      <c r="B45" s="213"/>
      <c r="C45" s="75" t="s">
        <v>680</v>
      </c>
      <c r="D45" s="214" t="e">
        <f>SUM(#REF!)</f>
        <v>#REF!</v>
      </c>
      <c r="E45" s="214" t="e">
        <f>SUM(#REF!)</f>
        <v>#REF!</v>
      </c>
      <c r="F45" s="222"/>
      <c r="G45" s="1004">
        <f>SUM(G46:G49)</f>
        <v>995</v>
      </c>
      <c r="H45" s="554">
        <f>SUM(H46:H49)</f>
        <v>1119</v>
      </c>
      <c r="I45" s="554">
        <f>SUM(I46:I49)</f>
        <v>1022</v>
      </c>
      <c r="J45" s="1046">
        <f>SUM(J46:J49)</f>
        <v>0</v>
      </c>
      <c r="K45" s="122">
        <f t="shared" si="2"/>
        <v>0</v>
      </c>
      <c r="L45" s="122">
        <f t="shared" si="1"/>
        <v>0</v>
      </c>
    </row>
    <row r="46" spans="1:12" ht="13.5" customHeight="1">
      <c r="A46" s="270"/>
      <c r="B46" s="213"/>
      <c r="C46" s="75"/>
      <c r="D46" s="214"/>
      <c r="E46" s="214"/>
      <c r="F46" s="455" t="s">
        <v>316</v>
      </c>
      <c r="G46" s="1002">
        <v>846</v>
      </c>
      <c r="H46" s="554">
        <v>967</v>
      </c>
      <c r="I46" s="554">
        <v>871</v>
      </c>
      <c r="J46" s="1028">
        <v>0</v>
      </c>
      <c r="K46" s="122">
        <f t="shared" si="2"/>
        <v>0</v>
      </c>
      <c r="L46" s="122">
        <f>IF(I46=0,0,J46/I46)</f>
        <v>0</v>
      </c>
    </row>
    <row r="47" spans="1:12" ht="13.5" customHeight="1">
      <c r="A47" s="270"/>
      <c r="B47" s="213"/>
      <c r="C47" s="75"/>
      <c r="D47" s="214"/>
      <c r="E47" s="214"/>
      <c r="F47" s="455" t="s">
        <v>198</v>
      </c>
      <c r="G47" s="1002">
        <v>71</v>
      </c>
      <c r="H47" s="554">
        <v>80</v>
      </c>
      <c r="I47" s="554">
        <v>75</v>
      </c>
      <c r="J47" s="1028">
        <v>0</v>
      </c>
      <c r="K47" s="122">
        <f t="shared" si="2"/>
        <v>0</v>
      </c>
      <c r="L47" s="122">
        <f>IF(I47=0,0,J47/I47)</f>
        <v>0</v>
      </c>
    </row>
    <row r="48" spans="1:12" ht="13.5" customHeight="1">
      <c r="A48" s="270"/>
      <c r="B48" s="213"/>
      <c r="C48" s="75"/>
      <c r="D48" s="214"/>
      <c r="E48" s="214"/>
      <c r="F48" s="455" t="s">
        <v>199</v>
      </c>
      <c r="G48" s="1002">
        <v>72</v>
      </c>
      <c r="H48" s="554">
        <v>47</v>
      </c>
      <c r="I48" s="554">
        <v>37</v>
      </c>
      <c r="J48" s="1028">
        <v>0</v>
      </c>
      <c r="K48" s="122">
        <f t="shared" si="2"/>
        <v>0</v>
      </c>
      <c r="L48" s="122">
        <f>IF(I48=0,0,J48/I48)</f>
        <v>0</v>
      </c>
    </row>
    <row r="49" spans="1:12" ht="13.5" customHeight="1">
      <c r="A49" s="270"/>
      <c r="B49" s="213"/>
      <c r="C49" s="75"/>
      <c r="D49" s="214"/>
      <c r="E49" s="214"/>
      <c r="F49" s="573" t="s">
        <v>315</v>
      </c>
      <c r="G49" s="1012">
        <v>6</v>
      </c>
      <c r="H49" s="1123">
        <v>25</v>
      </c>
      <c r="I49" s="1123">
        <v>39</v>
      </c>
      <c r="J49" s="1124">
        <v>0</v>
      </c>
      <c r="K49" s="122">
        <f t="shared" si="2"/>
        <v>0</v>
      </c>
      <c r="L49" s="122">
        <f>IF(I49=0,0,J49/I49)</f>
        <v>0</v>
      </c>
    </row>
    <row r="50" spans="1:12" ht="13.5" customHeight="1">
      <c r="A50" s="270"/>
      <c r="B50" s="213"/>
      <c r="C50" s="75" t="s">
        <v>681</v>
      </c>
      <c r="D50" s="214">
        <v>184</v>
      </c>
      <c r="E50" s="215">
        <v>55</v>
      </c>
      <c r="F50" s="216"/>
      <c r="G50" s="1005">
        <v>361</v>
      </c>
      <c r="H50" s="552">
        <v>425</v>
      </c>
      <c r="I50" s="552">
        <v>233</v>
      </c>
      <c r="J50" s="1025">
        <v>0</v>
      </c>
      <c r="K50" s="122">
        <f t="shared" si="2"/>
        <v>0</v>
      </c>
      <c r="L50" s="122">
        <f t="shared" si="1"/>
        <v>0</v>
      </c>
    </row>
    <row r="51" spans="1:12" ht="13.5" customHeight="1">
      <c r="A51" s="270"/>
      <c r="B51" s="213"/>
      <c r="C51" s="79" t="s">
        <v>177</v>
      </c>
      <c r="D51" s="214"/>
      <c r="E51" s="215"/>
      <c r="F51" s="216"/>
      <c r="G51" s="1005">
        <v>62</v>
      </c>
      <c r="H51" s="552">
        <v>0</v>
      </c>
      <c r="I51" s="552">
        <v>0</v>
      </c>
      <c r="J51" s="1025">
        <v>0</v>
      </c>
      <c r="K51" s="122">
        <f t="shared" si="2"/>
        <v>0</v>
      </c>
      <c r="L51" s="122">
        <f>IF(I51=0,0,J51/I51)</f>
        <v>0</v>
      </c>
    </row>
    <row r="52" spans="1:70" s="105" customFormat="1" ht="13.5" customHeight="1">
      <c r="A52" s="269" t="s">
        <v>734</v>
      </c>
      <c r="B52" s="70" t="s">
        <v>456</v>
      </c>
      <c r="C52" s="82"/>
      <c r="D52" s="236"/>
      <c r="E52" s="237"/>
      <c r="F52" s="238"/>
      <c r="G52" s="1006">
        <f>SUM(G53:G58)</f>
        <v>674875</v>
      </c>
      <c r="H52" s="126">
        <f>SUM(H53:H58)</f>
        <v>806858</v>
      </c>
      <c r="I52" s="126">
        <f>SUM(I53:I58)</f>
        <v>918553</v>
      </c>
      <c r="J52" s="126">
        <f>SUM(J53:J58)</f>
        <v>807594</v>
      </c>
      <c r="K52" s="121">
        <f t="shared" si="2"/>
        <v>1.0009121803340861</v>
      </c>
      <c r="L52" s="121">
        <f t="shared" si="1"/>
        <v>0.8792023976841837</v>
      </c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</row>
    <row r="53" spans="1:70" s="16" customFormat="1" ht="13.5" customHeight="1">
      <c r="A53" s="270"/>
      <c r="B53" s="213"/>
      <c r="C53" s="218" t="s">
        <v>681</v>
      </c>
      <c r="D53" s="214"/>
      <c r="E53" s="215"/>
      <c r="F53" s="216"/>
      <c r="G53" s="1005">
        <v>628725</v>
      </c>
      <c r="H53" s="552">
        <v>702427</v>
      </c>
      <c r="I53" s="552">
        <v>763287</v>
      </c>
      <c r="J53" s="1025">
        <v>727733</v>
      </c>
      <c r="K53" s="122">
        <f t="shared" si="2"/>
        <v>1.0360265194817397</v>
      </c>
      <c r="L53" s="122">
        <f t="shared" si="1"/>
        <v>0.9534198800713231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</row>
    <row r="54" spans="1:70" s="16" customFormat="1" ht="13.5" customHeight="1">
      <c r="A54" s="270"/>
      <c r="B54" s="213"/>
      <c r="C54" s="75" t="s">
        <v>342</v>
      </c>
      <c r="D54" s="214"/>
      <c r="E54" s="215"/>
      <c r="F54" s="216"/>
      <c r="G54" s="1005">
        <v>23141</v>
      </c>
      <c r="H54" s="552">
        <v>51500</v>
      </c>
      <c r="I54" s="552">
        <v>40403</v>
      </c>
      <c r="J54" s="1025">
        <v>60536</v>
      </c>
      <c r="K54" s="122">
        <f t="shared" si="2"/>
        <v>1.1754563106796116</v>
      </c>
      <c r="L54" s="122">
        <f t="shared" si="1"/>
        <v>1.4983045813429696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</row>
    <row r="55" spans="1:70" s="16" customFormat="1" ht="13.5" customHeight="1">
      <c r="A55" s="270"/>
      <c r="B55" s="213"/>
      <c r="C55" s="286" t="s">
        <v>467</v>
      </c>
      <c r="D55" s="214"/>
      <c r="E55" s="215"/>
      <c r="F55" s="216"/>
      <c r="G55" s="1005">
        <v>0</v>
      </c>
      <c r="H55" s="552">
        <v>0</v>
      </c>
      <c r="I55" s="552">
        <v>63008</v>
      </c>
      <c r="J55" s="1025">
        <v>0</v>
      </c>
      <c r="K55" s="122">
        <f t="shared" si="2"/>
        <v>0</v>
      </c>
      <c r="L55" s="122">
        <f t="shared" si="1"/>
        <v>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</row>
    <row r="56" spans="1:70" s="16" customFormat="1" ht="13.5" customHeight="1">
      <c r="A56" s="270"/>
      <c r="B56" s="213"/>
      <c r="C56" s="75" t="s">
        <v>403</v>
      </c>
      <c r="D56" s="214"/>
      <c r="E56" s="215"/>
      <c r="F56" s="216"/>
      <c r="G56" s="1005">
        <v>5777</v>
      </c>
      <c r="H56" s="552">
        <v>6000</v>
      </c>
      <c r="I56" s="552">
        <v>5251</v>
      </c>
      <c r="J56" s="1025">
        <v>6911</v>
      </c>
      <c r="K56" s="122">
        <f t="shared" si="2"/>
        <v>1.1518333333333333</v>
      </c>
      <c r="L56" s="122">
        <f t="shared" si="1"/>
        <v>1.3161302609026853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</row>
    <row r="57" spans="1:70" s="16" customFormat="1" ht="13.5" customHeight="1">
      <c r="A57" s="270"/>
      <c r="B57" s="213"/>
      <c r="C57" s="75" t="s">
        <v>516</v>
      </c>
      <c r="D57" s="214"/>
      <c r="E57" s="215"/>
      <c r="F57" s="216"/>
      <c r="G57" s="1005">
        <v>17232</v>
      </c>
      <c r="H57" s="552">
        <v>46931</v>
      </c>
      <c r="I57" s="552">
        <v>46604</v>
      </c>
      <c r="J57" s="1025">
        <v>12414</v>
      </c>
      <c r="K57" s="122">
        <f t="shared" si="2"/>
        <v>0.2645159915620805</v>
      </c>
      <c r="L57" s="122">
        <f t="shared" si="1"/>
        <v>0.2663719852373187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</row>
    <row r="58" spans="1:70" s="16" customFormat="1" ht="14.25" customHeight="1">
      <c r="A58" s="270"/>
      <c r="B58" s="213"/>
      <c r="C58" s="75" t="s">
        <v>517</v>
      </c>
      <c r="D58" s="214"/>
      <c r="E58" s="215"/>
      <c r="F58" s="216"/>
      <c r="G58" s="1005">
        <v>0</v>
      </c>
      <c r="H58" s="552">
        <v>0</v>
      </c>
      <c r="I58" s="552">
        <v>0</v>
      </c>
      <c r="J58" s="1025">
        <v>0</v>
      </c>
      <c r="K58" s="122">
        <f t="shared" si="2"/>
        <v>0</v>
      </c>
      <c r="L58" s="122">
        <f t="shared" si="1"/>
        <v>0</v>
      </c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</row>
    <row r="59" spans="1:70" s="23" customFormat="1" ht="13.5" customHeight="1">
      <c r="A59" s="269" t="s">
        <v>735</v>
      </c>
      <c r="B59" s="87" t="s">
        <v>113</v>
      </c>
      <c r="C59" s="83"/>
      <c r="D59" s="89" t="e">
        <f>SUM(D61:D70)-D65-#REF!-#REF!-#REF!</f>
        <v>#REF!</v>
      </c>
      <c r="E59" s="89" t="e">
        <f>SUM(E61:E70)-E65-#REF!-#REF!-#REF!</f>
        <v>#REF!</v>
      </c>
      <c r="F59" s="90"/>
      <c r="G59" s="1007">
        <f>SUM(G60,G61:G65,G68,G71:G73)</f>
        <v>153344</v>
      </c>
      <c r="H59" s="174">
        <f>SUM(H60,H61:H65,H68,H71:H73)</f>
        <v>215700</v>
      </c>
      <c r="I59" s="174">
        <f>SUM(I60,I61:I65,I68,I71:I73)</f>
        <v>217581</v>
      </c>
      <c r="J59" s="174">
        <f>SUM(J60,J61:J65,J68,J71:J73)</f>
        <v>211000</v>
      </c>
      <c r="K59" s="121">
        <f aca="true" t="shared" si="3" ref="K59:K67">IF(H59=0,0,J59/H59)</f>
        <v>0.9782104775150672</v>
      </c>
      <c r="L59" s="390">
        <f aca="true" t="shared" si="4" ref="L59:L67">IF(I59=0,0,J59/I59)</f>
        <v>0.9697537928403674</v>
      </c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</row>
    <row r="60" spans="1:70" ht="13.5" customHeight="1">
      <c r="A60" s="270"/>
      <c r="B60" s="86"/>
      <c r="C60" s="75" t="s">
        <v>681</v>
      </c>
      <c r="D60" s="93"/>
      <c r="E60" s="93"/>
      <c r="F60" s="203"/>
      <c r="G60" s="203">
        <v>0</v>
      </c>
      <c r="H60" s="555">
        <v>500</v>
      </c>
      <c r="I60" s="555">
        <v>980</v>
      </c>
      <c r="J60" s="1029">
        <v>1000</v>
      </c>
      <c r="K60" s="122">
        <f>IF(H60=0,0,J60/H60)</f>
        <v>2</v>
      </c>
      <c r="L60" s="383">
        <f t="shared" si="4"/>
        <v>1.0204081632653061</v>
      </c>
      <c r="M60" s="463"/>
      <c r="N60" s="463"/>
      <c r="O60" s="463"/>
      <c r="P60" s="463"/>
      <c r="Q60" s="463"/>
      <c r="R60" s="463"/>
      <c r="S60" s="463"/>
      <c r="T60" s="463"/>
      <c r="U60" s="463"/>
      <c r="V60" s="463"/>
      <c r="W60" s="463"/>
      <c r="X60" s="463"/>
      <c r="Y60" s="463"/>
      <c r="Z60" s="463"/>
      <c r="AA60" s="463"/>
      <c r="AB60" s="463"/>
      <c r="AC60" s="463"/>
      <c r="AD60" s="463"/>
      <c r="AE60" s="463"/>
      <c r="AF60" s="463"/>
      <c r="AG60" s="463"/>
      <c r="AH60" s="463"/>
      <c r="AI60" s="463"/>
      <c r="AJ60" s="463"/>
      <c r="AK60" s="463"/>
      <c r="AL60" s="463"/>
      <c r="AM60" s="463"/>
      <c r="AN60" s="463"/>
      <c r="AO60" s="463"/>
      <c r="AP60" s="463"/>
      <c r="AQ60" s="463"/>
      <c r="AR60" s="463"/>
      <c r="AS60" s="463"/>
      <c r="AT60" s="463"/>
      <c r="AU60" s="463"/>
      <c r="AV60" s="463"/>
      <c r="AW60" s="463"/>
      <c r="AX60" s="463"/>
      <c r="AY60" s="463"/>
      <c r="AZ60" s="463"/>
      <c r="BA60" s="463"/>
      <c r="BB60" s="463"/>
      <c r="BC60" s="463"/>
      <c r="BD60" s="463"/>
      <c r="BE60" s="463"/>
      <c r="BF60" s="463"/>
      <c r="BG60" s="463"/>
      <c r="BH60" s="463"/>
      <c r="BI60" s="463"/>
      <c r="BJ60" s="463"/>
      <c r="BK60" s="463"/>
      <c r="BL60" s="463"/>
      <c r="BM60" s="463"/>
      <c r="BN60" s="463"/>
      <c r="BO60" s="463"/>
      <c r="BP60" s="463"/>
      <c r="BQ60" s="463"/>
      <c r="BR60" s="463"/>
    </row>
    <row r="61" spans="1:70" s="1330" customFormat="1" ht="26.25" customHeight="1">
      <c r="A61" s="366"/>
      <c r="B61" s="1324"/>
      <c r="C61" s="1370" t="s">
        <v>496</v>
      </c>
      <c r="D61" s="1370"/>
      <c r="E61" s="1370"/>
      <c r="F61" s="1371"/>
      <c r="G61" s="1325">
        <v>9054</v>
      </c>
      <c r="H61" s="1326">
        <v>10000</v>
      </c>
      <c r="I61" s="1326">
        <v>11831</v>
      </c>
      <c r="J61" s="1327">
        <v>12000</v>
      </c>
      <c r="K61" s="1328">
        <f t="shared" si="3"/>
        <v>1.2</v>
      </c>
      <c r="L61" s="1328">
        <f t="shared" si="4"/>
        <v>1.0142845068041586</v>
      </c>
      <c r="M61" s="1329"/>
      <c r="N61" s="1329"/>
      <c r="O61" s="1329"/>
      <c r="P61" s="1329"/>
      <c r="Q61" s="1329"/>
      <c r="R61" s="1329"/>
      <c r="S61" s="1329"/>
      <c r="T61" s="1329"/>
      <c r="U61" s="1329"/>
      <c r="V61" s="1329"/>
      <c r="W61" s="1329"/>
      <c r="X61" s="1329"/>
      <c r="Y61" s="1329"/>
      <c r="Z61" s="1329"/>
      <c r="AA61" s="1329"/>
      <c r="AB61" s="1329"/>
      <c r="AC61" s="1329"/>
      <c r="AD61" s="1329"/>
      <c r="AE61" s="1329"/>
      <c r="AF61" s="1329"/>
      <c r="AG61" s="1329"/>
      <c r="AH61" s="1329"/>
      <c r="AI61" s="1329"/>
      <c r="AJ61" s="1329"/>
      <c r="AK61" s="1329"/>
      <c r="AL61" s="1329"/>
      <c r="AM61" s="1329"/>
      <c r="AN61" s="1329"/>
      <c r="AO61" s="1329"/>
      <c r="AP61" s="1329"/>
      <c r="AQ61" s="1329"/>
      <c r="AR61" s="1329"/>
      <c r="AS61" s="1329"/>
      <c r="AT61" s="1329"/>
      <c r="AU61" s="1329"/>
      <c r="AV61" s="1329"/>
      <c r="AW61" s="1329"/>
      <c r="AX61" s="1329"/>
      <c r="AY61" s="1329"/>
      <c r="AZ61" s="1329"/>
      <c r="BA61" s="1329"/>
      <c r="BB61" s="1329"/>
      <c r="BC61" s="1329"/>
      <c r="BD61" s="1329"/>
      <c r="BE61" s="1329"/>
      <c r="BF61" s="1329"/>
      <c r="BG61" s="1329"/>
      <c r="BH61" s="1329"/>
      <c r="BI61" s="1329"/>
      <c r="BJ61" s="1329"/>
      <c r="BK61" s="1329"/>
      <c r="BL61" s="1329"/>
      <c r="BM61" s="1329"/>
      <c r="BN61" s="1329"/>
      <c r="BO61" s="1329"/>
      <c r="BP61" s="1329"/>
      <c r="BQ61" s="1329"/>
      <c r="BR61" s="1329"/>
    </row>
    <row r="62" spans="1:70" s="1330" customFormat="1" ht="26.25" customHeight="1">
      <c r="A62" s="366"/>
      <c r="B62" s="1324"/>
      <c r="C62" s="1370" t="s">
        <v>497</v>
      </c>
      <c r="D62" s="1370"/>
      <c r="E62" s="1370"/>
      <c r="F62" s="1371"/>
      <c r="G62" s="1325">
        <v>0</v>
      </c>
      <c r="H62" s="1326">
        <v>36200</v>
      </c>
      <c r="I62" s="1326">
        <v>37449</v>
      </c>
      <c r="J62" s="1327">
        <v>40000</v>
      </c>
      <c r="K62" s="1328">
        <f t="shared" si="3"/>
        <v>1.1049723756906078</v>
      </c>
      <c r="L62" s="1328">
        <f t="shared" si="4"/>
        <v>1.068119308926807</v>
      </c>
      <c r="M62" s="1329"/>
      <c r="N62" s="1329"/>
      <c r="O62" s="1329"/>
      <c r="P62" s="1329"/>
      <c r="Q62" s="1329"/>
      <c r="R62" s="1329"/>
      <c r="S62" s="1329"/>
      <c r="T62" s="1329"/>
      <c r="U62" s="1329"/>
      <c r="V62" s="1329"/>
      <c r="W62" s="1329"/>
      <c r="X62" s="1329"/>
      <c r="Y62" s="1329"/>
      <c r="Z62" s="1329"/>
      <c r="AA62" s="1329"/>
      <c r="AB62" s="1329"/>
      <c r="AC62" s="1329"/>
      <c r="AD62" s="1329"/>
      <c r="AE62" s="1329"/>
      <c r="AF62" s="1329"/>
      <c r="AG62" s="1329"/>
      <c r="AH62" s="1329"/>
      <c r="AI62" s="1329"/>
      <c r="AJ62" s="1329"/>
      <c r="AK62" s="1329"/>
      <c r="AL62" s="1329"/>
      <c r="AM62" s="1329"/>
      <c r="AN62" s="1329"/>
      <c r="AO62" s="1329"/>
      <c r="AP62" s="1329"/>
      <c r="AQ62" s="1329"/>
      <c r="AR62" s="1329"/>
      <c r="AS62" s="1329"/>
      <c r="AT62" s="1329"/>
      <c r="AU62" s="1329"/>
      <c r="AV62" s="1329"/>
      <c r="AW62" s="1329"/>
      <c r="AX62" s="1329"/>
      <c r="AY62" s="1329"/>
      <c r="AZ62" s="1329"/>
      <c r="BA62" s="1329"/>
      <c r="BB62" s="1329"/>
      <c r="BC62" s="1329"/>
      <c r="BD62" s="1329"/>
      <c r="BE62" s="1329"/>
      <c r="BF62" s="1329"/>
      <c r="BG62" s="1329"/>
      <c r="BH62" s="1329"/>
      <c r="BI62" s="1329"/>
      <c r="BJ62" s="1329"/>
      <c r="BK62" s="1329"/>
      <c r="BL62" s="1329"/>
      <c r="BM62" s="1329"/>
      <c r="BN62" s="1329"/>
      <c r="BO62" s="1329"/>
      <c r="BP62" s="1329"/>
      <c r="BQ62" s="1329"/>
      <c r="BR62" s="1329"/>
    </row>
    <row r="63" spans="1:70" s="1330" customFormat="1" ht="26.25" customHeight="1">
      <c r="A63" s="366"/>
      <c r="B63" s="1324"/>
      <c r="C63" s="1370" t="s">
        <v>498</v>
      </c>
      <c r="D63" s="1370"/>
      <c r="E63" s="1370"/>
      <c r="F63" s="1371"/>
      <c r="G63" s="1325">
        <v>0</v>
      </c>
      <c r="H63" s="1326">
        <v>0</v>
      </c>
      <c r="I63" s="1326">
        <v>0</v>
      </c>
      <c r="J63" s="1327">
        <v>5000</v>
      </c>
      <c r="K63" s="1328">
        <f t="shared" si="3"/>
        <v>0</v>
      </c>
      <c r="L63" s="1328">
        <f t="shared" si="4"/>
        <v>0</v>
      </c>
      <c r="M63" s="1329"/>
      <c r="N63" s="1329"/>
      <c r="O63" s="1329"/>
      <c r="P63" s="1329"/>
      <c r="Q63" s="1329"/>
      <c r="R63" s="1329"/>
      <c r="S63" s="1329"/>
      <c r="T63" s="1329"/>
      <c r="U63" s="1329"/>
      <c r="V63" s="1329"/>
      <c r="W63" s="1329"/>
      <c r="X63" s="1329"/>
      <c r="Y63" s="1329"/>
      <c r="Z63" s="1329"/>
      <c r="AA63" s="1329"/>
      <c r="AB63" s="1329"/>
      <c r="AC63" s="1329"/>
      <c r="AD63" s="1329"/>
      <c r="AE63" s="1329"/>
      <c r="AF63" s="1329"/>
      <c r="AG63" s="1329"/>
      <c r="AH63" s="1329"/>
      <c r="AI63" s="1329"/>
      <c r="AJ63" s="1329"/>
      <c r="AK63" s="1329"/>
      <c r="AL63" s="1329"/>
      <c r="AM63" s="1329"/>
      <c r="AN63" s="1329"/>
      <c r="AO63" s="1329"/>
      <c r="AP63" s="1329"/>
      <c r="AQ63" s="1329"/>
      <c r="AR63" s="1329"/>
      <c r="AS63" s="1329"/>
      <c r="AT63" s="1329"/>
      <c r="AU63" s="1329"/>
      <c r="AV63" s="1329"/>
      <c r="AW63" s="1329"/>
      <c r="AX63" s="1329"/>
      <c r="AY63" s="1329"/>
      <c r="AZ63" s="1329"/>
      <c r="BA63" s="1329"/>
      <c r="BB63" s="1329"/>
      <c r="BC63" s="1329"/>
      <c r="BD63" s="1329"/>
      <c r="BE63" s="1329"/>
      <c r="BF63" s="1329"/>
      <c r="BG63" s="1329"/>
      <c r="BH63" s="1329"/>
      <c r="BI63" s="1329"/>
      <c r="BJ63" s="1329"/>
      <c r="BK63" s="1329"/>
      <c r="BL63" s="1329"/>
      <c r="BM63" s="1329"/>
      <c r="BN63" s="1329"/>
      <c r="BO63" s="1329"/>
      <c r="BP63" s="1329"/>
      <c r="BQ63" s="1329"/>
      <c r="BR63" s="1329"/>
    </row>
    <row r="64" spans="1:12" ht="13.5" customHeight="1">
      <c r="A64" s="270"/>
      <c r="B64" s="75"/>
      <c r="C64" s="75" t="s">
        <v>173</v>
      </c>
      <c r="D64" s="91"/>
      <c r="E64" s="92"/>
      <c r="F64" s="203"/>
      <c r="G64" s="203">
        <v>5207</v>
      </c>
      <c r="H64" s="552">
        <v>9000</v>
      </c>
      <c r="I64" s="552">
        <v>6021</v>
      </c>
      <c r="J64" s="1025">
        <v>9000</v>
      </c>
      <c r="K64" s="122">
        <f t="shared" si="3"/>
        <v>1</v>
      </c>
      <c r="L64" s="122">
        <f t="shared" si="4"/>
        <v>1.4947683109118086</v>
      </c>
    </row>
    <row r="65" spans="1:12" ht="13.5" customHeight="1">
      <c r="A65" s="270"/>
      <c r="B65" s="218"/>
      <c r="C65" s="218" t="s">
        <v>468</v>
      </c>
      <c r="D65" s="118">
        <f>SUM(D66:D67)</f>
        <v>19320</v>
      </c>
      <c r="E65" s="119">
        <f>SUM(E66:E67)</f>
        <v>28133</v>
      </c>
      <c r="F65" s="294"/>
      <c r="G65" s="1008">
        <f>SUM(G66:G67)</f>
        <v>29798</v>
      </c>
      <c r="H65" s="556">
        <f>SUM(H66:H67)</f>
        <v>39000</v>
      </c>
      <c r="I65" s="556">
        <f>SUM(I66:I67)</f>
        <v>33160</v>
      </c>
      <c r="J65" s="1030">
        <f>SUM(J66:J67)</f>
        <v>36000</v>
      </c>
      <c r="K65" s="122">
        <f t="shared" si="3"/>
        <v>0.9230769230769231</v>
      </c>
      <c r="L65" s="122">
        <f t="shared" si="4"/>
        <v>1.0856453558504222</v>
      </c>
    </row>
    <row r="66" spans="1:12" ht="13.5" customHeight="1">
      <c r="A66" s="272"/>
      <c r="B66" s="213"/>
      <c r="C66" s="75"/>
      <c r="D66" s="242">
        <v>4320</v>
      </c>
      <c r="E66" s="243">
        <v>6476</v>
      </c>
      <c r="F66" s="75" t="s">
        <v>685</v>
      </c>
      <c r="G66" s="1009">
        <v>4546</v>
      </c>
      <c r="H66" s="552">
        <v>5000</v>
      </c>
      <c r="I66" s="552">
        <v>5058</v>
      </c>
      <c r="J66" s="1025">
        <v>6000</v>
      </c>
      <c r="K66" s="122">
        <f t="shared" si="3"/>
        <v>1.2</v>
      </c>
      <c r="L66" s="122">
        <f t="shared" si="4"/>
        <v>1.1862396204033214</v>
      </c>
    </row>
    <row r="67" spans="1:12" ht="13.5" customHeight="1">
      <c r="A67" s="272"/>
      <c r="B67" s="213"/>
      <c r="C67" s="75"/>
      <c r="D67" s="242">
        <v>15000</v>
      </c>
      <c r="E67" s="243">
        <v>21657</v>
      </c>
      <c r="F67" s="75" t="s">
        <v>174</v>
      </c>
      <c r="G67" s="1009">
        <v>25252</v>
      </c>
      <c r="H67" s="552">
        <v>34000</v>
      </c>
      <c r="I67" s="552">
        <v>28102</v>
      </c>
      <c r="J67" s="1025">
        <v>30000</v>
      </c>
      <c r="K67" s="122">
        <f t="shared" si="3"/>
        <v>0.8823529411764706</v>
      </c>
      <c r="L67" s="122">
        <f t="shared" si="4"/>
        <v>1.0675396768913246</v>
      </c>
    </row>
    <row r="68" spans="1:12" ht="13.5" customHeight="1">
      <c r="A68" s="272"/>
      <c r="B68" s="213"/>
      <c r="C68" s="218" t="s">
        <v>910</v>
      </c>
      <c r="D68" s="242"/>
      <c r="E68" s="243"/>
      <c r="F68" s="75"/>
      <c r="G68" s="389">
        <f>SUM(G69:G70)</f>
        <v>63068</v>
      </c>
      <c r="H68" s="389">
        <f>SUM(H69:H70)</f>
        <v>60000</v>
      </c>
      <c r="I68" s="389">
        <f>SUM(I69:I70)</f>
        <v>76839</v>
      </c>
      <c r="J68" s="1026">
        <f>SUM(J69:J70)</f>
        <v>72000</v>
      </c>
      <c r="K68" s="122">
        <f aca="true" t="shared" si="5" ref="K68:K81">IF(H68=0,0,J68/H68)</f>
        <v>1.2</v>
      </c>
      <c r="L68" s="122">
        <f aca="true" t="shared" si="6" ref="L68:L81">IF(I68=0,0,J68/I68)</f>
        <v>0.9370241674149846</v>
      </c>
    </row>
    <row r="69" spans="1:12" ht="13.5" customHeight="1">
      <c r="A69" s="270"/>
      <c r="B69" s="75"/>
      <c r="C69" s="218"/>
      <c r="D69" s="242"/>
      <c r="E69" s="243"/>
      <c r="F69" s="75" t="s">
        <v>685</v>
      </c>
      <c r="G69" s="1009">
        <v>9620</v>
      </c>
      <c r="H69" s="389">
        <v>10000</v>
      </c>
      <c r="I69" s="389">
        <v>11721</v>
      </c>
      <c r="J69" s="1026">
        <v>12000</v>
      </c>
      <c r="K69" s="122">
        <f t="shared" si="5"/>
        <v>1.2</v>
      </c>
      <c r="L69" s="122">
        <f t="shared" si="6"/>
        <v>1.0238034297414895</v>
      </c>
    </row>
    <row r="70" spans="1:12" ht="13.5" customHeight="1">
      <c r="A70" s="270"/>
      <c r="B70" s="75"/>
      <c r="C70" s="218"/>
      <c r="D70" s="242"/>
      <c r="E70" s="243"/>
      <c r="F70" s="75" t="s">
        <v>174</v>
      </c>
      <c r="G70" s="1009">
        <v>53448</v>
      </c>
      <c r="H70" s="389">
        <v>50000</v>
      </c>
      <c r="I70" s="389">
        <v>65118</v>
      </c>
      <c r="J70" s="1026">
        <v>60000</v>
      </c>
      <c r="K70" s="122">
        <f t="shared" si="5"/>
        <v>1.2</v>
      </c>
      <c r="L70" s="122">
        <f t="shared" si="6"/>
        <v>0.9214042200313277</v>
      </c>
    </row>
    <row r="71" spans="1:12" ht="13.5" customHeight="1">
      <c r="A71" s="270"/>
      <c r="B71" s="286"/>
      <c r="C71" s="75" t="s">
        <v>909</v>
      </c>
      <c r="D71" s="91"/>
      <c r="E71" s="92"/>
      <c r="F71" s="203"/>
      <c r="G71" s="92">
        <v>26328</v>
      </c>
      <c r="H71" s="552">
        <v>30000</v>
      </c>
      <c r="I71" s="552">
        <v>26179</v>
      </c>
      <c r="J71" s="1025">
        <v>30000</v>
      </c>
      <c r="K71" s="122">
        <f t="shared" si="5"/>
        <v>1</v>
      </c>
      <c r="L71" s="122">
        <f t="shared" si="6"/>
        <v>1.1459566828373888</v>
      </c>
    </row>
    <row r="72" spans="1:12" ht="13.5" customHeight="1">
      <c r="A72" s="270"/>
      <c r="B72" s="286"/>
      <c r="C72" s="75" t="s">
        <v>376</v>
      </c>
      <c r="D72" s="242"/>
      <c r="E72" s="243"/>
      <c r="F72" s="243"/>
      <c r="G72" s="92">
        <v>16655</v>
      </c>
      <c r="H72" s="552">
        <v>25000</v>
      </c>
      <c r="I72" s="552">
        <v>20129</v>
      </c>
      <c r="J72" s="1025">
        <v>0</v>
      </c>
      <c r="K72" s="122">
        <f t="shared" si="5"/>
        <v>0</v>
      </c>
      <c r="L72" s="122">
        <f t="shared" si="6"/>
        <v>0</v>
      </c>
    </row>
    <row r="73" spans="1:12" ht="13.5" customHeight="1">
      <c r="A73" s="270"/>
      <c r="B73" s="286"/>
      <c r="C73" s="75" t="s">
        <v>307</v>
      </c>
      <c r="D73" s="242"/>
      <c r="E73" s="243"/>
      <c r="F73" s="243"/>
      <c r="G73" s="92">
        <v>3234</v>
      </c>
      <c r="H73" s="552">
        <v>6000</v>
      </c>
      <c r="I73" s="552">
        <v>4993</v>
      </c>
      <c r="J73" s="1025">
        <v>6000</v>
      </c>
      <c r="K73" s="122">
        <f t="shared" si="5"/>
        <v>1</v>
      </c>
      <c r="L73" s="122">
        <f t="shared" si="6"/>
        <v>1.2016823552974163</v>
      </c>
    </row>
    <row r="74" spans="1:70" s="23" customFormat="1" ht="13.5" customHeight="1">
      <c r="A74" s="269" t="s">
        <v>736</v>
      </c>
      <c r="B74" s="87" t="s">
        <v>114</v>
      </c>
      <c r="C74" s="83"/>
      <c r="D74" s="89" t="e">
        <f>SUM(D75:D88)-D82-#REF!-#REF!-#REF!</f>
        <v>#REF!</v>
      </c>
      <c r="E74" s="89" t="e">
        <f>SUM(E75:E88)-E82-#REF!-#REF!-#REF!</f>
        <v>#REF!</v>
      </c>
      <c r="F74" s="90"/>
      <c r="G74" s="123">
        <f>SUM(G75:G76)</f>
        <v>134551</v>
      </c>
      <c r="H74" s="123">
        <f>SUM(H75:H76)</f>
        <v>51000</v>
      </c>
      <c r="I74" s="123">
        <f>SUM(I75:I76)</f>
        <v>50752</v>
      </c>
      <c r="J74" s="123">
        <f>SUM(J75:J78)</f>
        <v>55376</v>
      </c>
      <c r="K74" s="121">
        <f t="shared" si="5"/>
        <v>1.0858039215686275</v>
      </c>
      <c r="L74" s="121">
        <f t="shared" si="6"/>
        <v>1.091109709962169</v>
      </c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</row>
    <row r="75" spans="1:12" ht="13.5" customHeight="1">
      <c r="A75" s="270"/>
      <c r="B75" s="75"/>
      <c r="C75" s="75" t="s">
        <v>111</v>
      </c>
      <c r="D75" s="91">
        <v>105000</v>
      </c>
      <c r="E75" s="92">
        <v>99479</v>
      </c>
      <c r="F75" s="203"/>
      <c r="G75" s="92">
        <v>107903</v>
      </c>
      <c r="H75" s="552">
        <v>9000</v>
      </c>
      <c r="I75" s="552">
        <v>22663</v>
      </c>
      <c r="J75" s="1025">
        <v>0</v>
      </c>
      <c r="K75" s="122">
        <f t="shared" si="5"/>
        <v>0</v>
      </c>
      <c r="L75" s="122">
        <f t="shared" si="6"/>
        <v>0</v>
      </c>
    </row>
    <row r="76" spans="1:12" ht="13.5" customHeight="1">
      <c r="A76" s="270"/>
      <c r="B76" s="392"/>
      <c r="C76" s="1113" t="s">
        <v>343</v>
      </c>
      <c r="D76" s="91"/>
      <c r="E76" s="92"/>
      <c r="F76" s="92"/>
      <c r="G76" s="92">
        <v>26648</v>
      </c>
      <c r="H76" s="552">
        <v>42000</v>
      </c>
      <c r="I76" s="552">
        <v>28089</v>
      </c>
      <c r="J76" s="1025">
        <v>40000</v>
      </c>
      <c r="K76" s="122">
        <f t="shared" si="5"/>
        <v>0.9523809523809523</v>
      </c>
      <c r="L76" s="122">
        <f t="shared" si="6"/>
        <v>1.4240449998219944</v>
      </c>
    </row>
    <row r="77" spans="1:12" ht="13.5" customHeight="1">
      <c r="A77" s="270"/>
      <c r="B77" s="392"/>
      <c r="C77" s="1113" t="s">
        <v>665</v>
      </c>
      <c r="D77" s="91"/>
      <c r="E77" s="92"/>
      <c r="F77" s="92"/>
      <c r="G77" s="203">
        <v>0</v>
      </c>
      <c r="H77" s="389">
        <v>0</v>
      </c>
      <c r="I77" s="389">
        <v>0</v>
      </c>
      <c r="J77" s="1026">
        <v>1376</v>
      </c>
      <c r="K77" s="122">
        <f t="shared" si="5"/>
        <v>0</v>
      </c>
      <c r="L77" s="122">
        <f t="shared" si="6"/>
        <v>0</v>
      </c>
    </row>
    <row r="78" spans="1:12" ht="13.5" customHeight="1">
      <c r="A78" s="270"/>
      <c r="B78" s="152"/>
      <c r="C78" s="152" t="s">
        <v>666</v>
      </c>
      <c r="D78" s="1110"/>
      <c r="E78" s="1111"/>
      <c r="F78" s="1112"/>
      <c r="G78" s="203">
        <v>0</v>
      </c>
      <c r="H78" s="389">
        <v>0</v>
      </c>
      <c r="I78" s="389">
        <v>0</v>
      </c>
      <c r="J78" s="1026">
        <v>14000</v>
      </c>
      <c r="K78" s="122">
        <f t="shared" si="5"/>
        <v>0</v>
      </c>
      <c r="L78" s="122">
        <f t="shared" si="6"/>
        <v>0</v>
      </c>
    </row>
    <row r="79" spans="1:70" s="23" customFormat="1" ht="13.5" customHeight="1">
      <c r="A79" s="269" t="s">
        <v>737</v>
      </c>
      <c r="B79" s="87" t="s">
        <v>115</v>
      </c>
      <c r="C79" s="83"/>
      <c r="D79" s="89" t="e">
        <f>SUM(D80:D88)-D86-#REF!-#REF!-#REF!</f>
        <v>#REF!</v>
      </c>
      <c r="E79" s="89" t="e">
        <f>SUM(E80:E88)-E86-#REF!-#REF!-#REF!</f>
        <v>#REF!</v>
      </c>
      <c r="F79" s="90"/>
      <c r="G79" s="557">
        <f>SUM(G80:G81)</f>
        <v>30316</v>
      </c>
      <c r="H79" s="557">
        <f>SUM(H80:H81)</f>
        <v>0</v>
      </c>
      <c r="I79" s="557">
        <f>SUM(I80:I81)</f>
        <v>0</v>
      </c>
      <c r="J79" s="123">
        <f>SUM(J80:J81)</f>
        <v>0</v>
      </c>
      <c r="K79" s="121">
        <f t="shared" si="5"/>
        <v>0</v>
      </c>
      <c r="L79" s="121">
        <f t="shared" si="6"/>
        <v>0</v>
      </c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</row>
    <row r="80" spans="1:12" ht="13.5" customHeight="1">
      <c r="A80" s="270"/>
      <c r="B80" s="392"/>
      <c r="C80" s="75" t="s">
        <v>175</v>
      </c>
      <c r="D80" s="242">
        <f>SUM(D81:D81)</f>
        <v>0</v>
      </c>
      <c r="E80" s="243">
        <f>SUM(E81:E81)</f>
        <v>0</v>
      </c>
      <c r="F80" s="393"/>
      <c r="G80" s="393">
        <v>-5</v>
      </c>
      <c r="H80" s="552">
        <v>0</v>
      </c>
      <c r="I80" s="552">
        <v>0</v>
      </c>
      <c r="J80" s="1025">
        <v>0</v>
      </c>
      <c r="K80" s="122">
        <f t="shared" si="5"/>
        <v>0</v>
      </c>
      <c r="L80" s="122">
        <f t="shared" si="6"/>
        <v>0</v>
      </c>
    </row>
    <row r="81" spans="1:12" ht="13.5" customHeight="1">
      <c r="A81" s="270"/>
      <c r="B81" s="392"/>
      <c r="C81" s="75" t="s">
        <v>172</v>
      </c>
      <c r="D81" s="91"/>
      <c r="E81" s="92"/>
      <c r="F81" s="92"/>
      <c r="G81" s="92">
        <v>30321</v>
      </c>
      <c r="H81" s="552">
        <v>0</v>
      </c>
      <c r="I81" s="552">
        <v>0</v>
      </c>
      <c r="J81" s="1025">
        <v>0</v>
      </c>
      <c r="K81" s="122">
        <f t="shared" si="5"/>
        <v>0</v>
      </c>
      <c r="L81" s="122">
        <f t="shared" si="6"/>
        <v>0</v>
      </c>
    </row>
    <row r="82" spans="1:70" s="23" customFormat="1" ht="13.5" customHeight="1">
      <c r="A82" s="269" t="s">
        <v>738</v>
      </c>
      <c r="B82" s="208" t="s">
        <v>116</v>
      </c>
      <c r="C82" s="239"/>
      <c r="D82" s="240">
        <f>SUM(D83:D88)-D86</f>
        <v>86000</v>
      </c>
      <c r="E82" s="240">
        <f>SUM(E83:E88)-E86</f>
        <v>99892</v>
      </c>
      <c r="F82" s="241"/>
      <c r="G82" s="1007">
        <f>SUM(G83:G86,G89:G92)</f>
        <v>155232</v>
      </c>
      <c r="H82" s="174">
        <f>SUM(H83:H86,H89:H92)</f>
        <v>202295</v>
      </c>
      <c r="I82" s="174">
        <f>SUM(I83:I86,I89:I92)</f>
        <v>162574</v>
      </c>
      <c r="J82" s="174">
        <f>SUM(J83:J86,J89:J92)</f>
        <v>209515</v>
      </c>
      <c r="K82" s="121">
        <f aca="true" t="shared" si="7" ref="K82:K89">IF(H82=0,0,J82/H82)</f>
        <v>1.0356904520625818</v>
      </c>
      <c r="L82" s="121">
        <f aca="true" t="shared" si="8" ref="L82:L89">IF(I82=0,0,J82/I82)</f>
        <v>1.2887362062814471</v>
      </c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</row>
    <row r="83" spans="1:12" ht="13.5" customHeight="1">
      <c r="A83" s="270"/>
      <c r="B83" s="75"/>
      <c r="C83" s="75" t="s">
        <v>469</v>
      </c>
      <c r="D83" s="91">
        <v>15000</v>
      </c>
      <c r="E83" s="92">
        <v>24647</v>
      </c>
      <c r="F83" s="203"/>
      <c r="G83" s="203">
        <v>45824</v>
      </c>
      <c r="H83" s="552">
        <v>80000</v>
      </c>
      <c r="I83" s="552">
        <v>71164</v>
      </c>
      <c r="J83" s="1025">
        <v>70000</v>
      </c>
      <c r="K83" s="122">
        <f t="shared" si="7"/>
        <v>0.875</v>
      </c>
      <c r="L83" s="122">
        <f t="shared" si="8"/>
        <v>0.9836434152099376</v>
      </c>
    </row>
    <row r="84" spans="1:12" ht="13.5" customHeight="1">
      <c r="A84" s="270"/>
      <c r="B84" s="75"/>
      <c r="C84" s="75" t="s">
        <v>672</v>
      </c>
      <c r="D84" s="91"/>
      <c r="E84" s="92"/>
      <c r="F84" s="203"/>
      <c r="G84" s="203">
        <v>0</v>
      </c>
      <c r="H84" s="552">
        <v>0</v>
      </c>
      <c r="I84" s="552">
        <v>0</v>
      </c>
      <c r="J84" s="1025">
        <v>3000</v>
      </c>
      <c r="K84" s="122">
        <f t="shared" si="7"/>
        <v>0</v>
      </c>
      <c r="L84" s="122">
        <f t="shared" si="8"/>
        <v>0</v>
      </c>
    </row>
    <row r="85" spans="1:12" ht="13.5" customHeight="1">
      <c r="A85" s="270"/>
      <c r="B85" s="75"/>
      <c r="C85" s="75" t="s">
        <v>176</v>
      </c>
      <c r="D85" s="91">
        <v>0</v>
      </c>
      <c r="E85" s="92">
        <v>9579</v>
      </c>
      <c r="F85" s="203"/>
      <c r="G85" s="203">
        <v>5583</v>
      </c>
      <c r="H85" s="552">
        <v>0</v>
      </c>
      <c r="I85" s="552">
        <v>4698</v>
      </c>
      <c r="J85" s="1025">
        <v>0</v>
      </c>
      <c r="K85" s="122">
        <f t="shared" si="7"/>
        <v>0</v>
      </c>
      <c r="L85" s="122">
        <f t="shared" si="8"/>
        <v>0</v>
      </c>
    </row>
    <row r="86" spans="1:12" ht="13.5" customHeight="1">
      <c r="A86" s="270"/>
      <c r="B86" s="218"/>
      <c r="C86" s="218" t="s">
        <v>470</v>
      </c>
      <c r="D86" s="118">
        <f>SUM(D87:D88)</f>
        <v>71000</v>
      </c>
      <c r="E86" s="118">
        <f>SUM(E87:E88)</f>
        <v>65666</v>
      </c>
      <c r="F86" s="244"/>
      <c r="G86" s="1010">
        <f>SUM(G87:G88)</f>
        <v>93923</v>
      </c>
      <c r="H86" s="555">
        <f>SUM(H87:H88)</f>
        <v>108200</v>
      </c>
      <c r="I86" s="555">
        <f>SUM(I87:I88)</f>
        <v>81889</v>
      </c>
      <c r="J86" s="1029">
        <f>SUM(J87:J88)</f>
        <v>106000</v>
      </c>
      <c r="K86" s="122">
        <f t="shared" si="7"/>
        <v>0.9796672828096118</v>
      </c>
      <c r="L86" s="122">
        <f t="shared" si="8"/>
        <v>1.2944351500201492</v>
      </c>
    </row>
    <row r="87" spans="1:12" ht="13.5" customHeight="1">
      <c r="A87" s="272"/>
      <c r="B87" s="74"/>
      <c r="C87" s="245"/>
      <c r="D87" s="242">
        <v>0</v>
      </c>
      <c r="E87" s="243">
        <v>217</v>
      </c>
      <c r="F87" s="75" t="s">
        <v>681</v>
      </c>
      <c r="G87" s="1009">
        <v>938</v>
      </c>
      <c r="H87" s="552">
        <v>0</v>
      </c>
      <c r="I87" s="552">
        <v>880</v>
      </c>
      <c r="J87" s="1025">
        <v>0</v>
      </c>
      <c r="K87" s="122">
        <f t="shared" si="7"/>
        <v>0</v>
      </c>
      <c r="L87" s="122">
        <f t="shared" si="8"/>
        <v>0</v>
      </c>
    </row>
    <row r="88" spans="1:12" ht="13.5" customHeight="1">
      <c r="A88" s="272"/>
      <c r="B88" s="74"/>
      <c r="C88" s="245"/>
      <c r="D88" s="242">
        <v>71000</v>
      </c>
      <c r="E88" s="243">
        <v>65449</v>
      </c>
      <c r="F88" s="75" t="s">
        <v>174</v>
      </c>
      <c r="G88" s="1009">
        <v>92985</v>
      </c>
      <c r="H88" s="552">
        <v>108200</v>
      </c>
      <c r="I88" s="552">
        <v>81009</v>
      </c>
      <c r="J88" s="1025">
        <v>106000</v>
      </c>
      <c r="K88" s="122">
        <f t="shared" si="7"/>
        <v>0.9796672828096118</v>
      </c>
      <c r="L88" s="122">
        <f t="shared" si="8"/>
        <v>1.3084965867989977</v>
      </c>
    </row>
    <row r="89" spans="1:12" ht="13.5" customHeight="1">
      <c r="A89" s="272"/>
      <c r="B89" s="246"/>
      <c r="C89" s="79" t="s">
        <v>537</v>
      </c>
      <c r="D89" s="242"/>
      <c r="E89" s="242"/>
      <c r="F89" s="242"/>
      <c r="G89" s="91">
        <v>0</v>
      </c>
      <c r="H89" s="552">
        <v>0</v>
      </c>
      <c r="I89" s="552">
        <v>0</v>
      </c>
      <c r="J89" s="1025">
        <v>0</v>
      </c>
      <c r="K89" s="122">
        <f t="shared" si="7"/>
        <v>0</v>
      </c>
      <c r="L89" s="122">
        <f t="shared" si="8"/>
        <v>0</v>
      </c>
    </row>
    <row r="90" spans="1:12" ht="13.5" customHeight="1">
      <c r="A90" s="272"/>
      <c r="B90" s="246"/>
      <c r="C90" s="86" t="s">
        <v>711</v>
      </c>
      <c r="D90" s="242"/>
      <c r="E90" s="242"/>
      <c r="F90" s="242"/>
      <c r="G90" s="91">
        <v>6707</v>
      </c>
      <c r="H90" s="552">
        <v>10000</v>
      </c>
      <c r="I90" s="552">
        <v>1396</v>
      </c>
      <c r="J90" s="1025">
        <v>1000</v>
      </c>
      <c r="K90" s="122">
        <f aca="true" t="shared" si="9" ref="K90:K96">IF(H90=0,0,J90/H90)</f>
        <v>0.1</v>
      </c>
      <c r="L90" s="122">
        <f aca="true" t="shared" si="10" ref="L90:L96">IF(I90=0,0,J90/I90)</f>
        <v>0.7163323782234957</v>
      </c>
    </row>
    <row r="91" spans="1:12" ht="13.5" customHeight="1">
      <c r="A91" s="272"/>
      <c r="B91" s="246"/>
      <c r="C91" s="79" t="s">
        <v>376</v>
      </c>
      <c r="D91" s="242"/>
      <c r="E91" s="242"/>
      <c r="F91" s="242"/>
      <c r="G91" s="91">
        <v>0</v>
      </c>
      <c r="H91" s="552">
        <v>0</v>
      </c>
      <c r="I91" s="552">
        <v>0</v>
      </c>
      <c r="J91" s="1025">
        <v>25000</v>
      </c>
      <c r="K91" s="122">
        <f t="shared" si="9"/>
        <v>0</v>
      </c>
      <c r="L91" s="122">
        <f t="shared" si="10"/>
        <v>0</v>
      </c>
    </row>
    <row r="92" spans="1:12" ht="13.5" customHeight="1">
      <c r="A92" s="272"/>
      <c r="B92" s="246"/>
      <c r="C92" s="75" t="s">
        <v>310</v>
      </c>
      <c r="D92" s="242"/>
      <c r="E92" s="243"/>
      <c r="F92" s="243"/>
      <c r="G92" s="92">
        <v>3195</v>
      </c>
      <c r="H92" s="552">
        <v>4095</v>
      </c>
      <c r="I92" s="552">
        <v>3427</v>
      </c>
      <c r="J92" s="1025">
        <v>4515</v>
      </c>
      <c r="K92" s="122">
        <f>IF(H92=0,0,J92/H92)</f>
        <v>1.1025641025641026</v>
      </c>
      <c r="L92" s="122">
        <f>IF(I92=0,0,J92/I92)</f>
        <v>1.3174788444703822</v>
      </c>
    </row>
    <row r="93" spans="1:12" ht="13.5" customHeight="1">
      <c r="A93" s="269" t="s">
        <v>811</v>
      </c>
      <c r="B93" s="208" t="s">
        <v>117</v>
      </c>
      <c r="C93" s="239"/>
      <c r="D93" s="240" t="e">
        <f>SUM(D94:D99)-#REF!</f>
        <v>#REF!</v>
      </c>
      <c r="E93" s="240" t="e">
        <f>SUM(E94:E99)-#REF!</f>
        <v>#REF!</v>
      </c>
      <c r="F93" s="241"/>
      <c r="G93" s="394">
        <f>SUM(G94:G96)</f>
        <v>76729</v>
      </c>
      <c r="H93" s="394">
        <f>SUM(H94:H96)</f>
        <v>90000</v>
      </c>
      <c r="I93" s="394">
        <f>SUM(I94:I96)</f>
        <v>93268</v>
      </c>
      <c r="J93" s="575">
        <f>SUM(J94:J96)</f>
        <v>99680</v>
      </c>
      <c r="K93" s="121">
        <f t="shared" si="9"/>
        <v>1.1075555555555556</v>
      </c>
      <c r="L93" s="121">
        <f t="shared" si="10"/>
        <v>1.0687481236865806</v>
      </c>
    </row>
    <row r="94" spans="1:12" ht="13.5" customHeight="1">
      <c r="A94" s="272"/>
      <c r="B94" s="246"/>
      <c r="C94" s="75" t="s">
        <v>752</v>
      </c>
      <c r="D94" s="242">
        <v>0</v>
      </c>
      <c r="E94" s="243">
        <v>0</v>
      </c>
      <c r="F94" s="243"/>
      <c r="G94" s="92">
        <v>56603</v>
      </c>
      <c r="H94" s="552">
        <v>63000</v>
      </c>
      <c r="I94" s="552">
        <v>66277</v>
      </c>
      <c r="J94" s="1025">
        <v>70000</v>
      </c>
      <c r="K94" s="122">
        <f t="shared" si="9"/>
        <v>1.1111111111111112</v>
      </c>
      <c r="L94" s="122">
        <f t="shared" si="10"/>
        <v>1.0561733331321574</v>
      </c>
    </row>
    <row r="95" spans="1:12" ht="13.5" customHeight="1">
      <c r="A95" s="272"/>
      <c r="B95" s="246"/>
      <c r="C95" s="75" t="s">
        <v>112</v>
      </c>
      <c r="D95" s="242"/>
      <c r="E95" s="243"/>
      <c r="F95" s="243"/>
      <c r="G95" s="92">
        <v>20126</v>
      </c>
      <c r="H95" s="552">
        <v>27000</v>
      </c>
      <c r="I95" s="552">
        <v>24711</v>
      </c>
      <c r="J95" s="1025">
        <v>25000</v>
      </c>
      <c r="K95" s="122">
        <f t="shared" si="9"/>
        <v>0.9259259259259259</v>
      </c>
      <c r="L95" s="122">
        <f t="shared" si="10"/>
        <v>1.011695196471207</v>
      </c>
    </row>
    <row r="96" spans="1:12" ht="13.5" customHeight="1">
      <c r="A96" s="270"/>
      <c r="B96" s="246"/>
      <c r="C96" s="79" t="s">
        <v>946</v>
      </c>
      <c r="D96" s="242"/>
      <c r="E96" s="242"/>
      <c r="F96" s="1338"/>
      <c r="G96" s="91">
        <v>0</v>
      </c>
      <c r="H96" s="552">
        <v>0</v>
      </c>
      <c r="I96" s="552">
        <v>2280</v>
      </c>
      <c r="J96" s="1025">
        <v>4680</v>
      </c>
      <c r="K96" s="122">
        <f t="shared" si="9"/>
        <v>0</v>
      </c>
      <c r="L96" s="122">
        <f t="shared" si="10"/>
        <v>2.0526315789473686</v>
      </c>
    </row>
    <row r="97" spans="1:12" ht="13.5" customHeight="1">
      <c r="A97" s="1331"/>
      <c r="C97" s="1332"/>
      <c r="D97" s="1311"/>
      <c r="E97" s="1311"/>
      <c r="F97" s="1311"/>
      <c r="G97" s="1311"/>
      <c r="H97" s="1333"/>
      <c r="I97" s="1333"/>
      <c r="J97" s="1334"/>
      <c r="K97" s="1335"/>
      <c r="L97" s="1335"/>
    </row>
    <row r="98" spans="1:12" ht="13.5" customHeight="1">
      <c r="A98" s="1336" t="s">
        <v>812</v>
      </c>
      <c r="B98" s="132" t="s">
        <v>350</v>
      </c>
      <c r="C98" s="247"/>
      <c r="D98" s="204"/>
      <c r="E98" s="204"/>
      <c r="F98" s="1337"/>
      <c r="G98" s="280">
        <f>G99+G100+G105+G106+G107+G108</f>
        <v>58948</v>
      </c>
      <c r="H98" s="280">
        <f>H99+H100+H105+H106+H107+H108</f>
        <v>82530</v>
      </c>
      <c r="I98" s="280">
        <f>I99+I100+I105+I106+I107+I108</f>
        <v>57985</v>
      </c>
      <c r="J98" s="280">
        <f>J99+J100+J105+J106+J107+J108</f>
        <v>66072</v>
      </c>
      <c r="K98" s="121">
        <f aca="true" t="shared" si="11" ref="K98:K125">IF(H98=0,0,J98/H98)</f>
        <v>0.8005816066884769</v>
      </c>
      <c r="L98" s="121">
        <f aca="true" t="shared" si="12" ref="L98:L124">IF(I98=0,0,J98/I98)</f>
        <v>1.1394671035612658</v>
      </c>
    </row>
    <row r="99" spans="1:12" ht="13.5" customHeight="1">
      <c r="A99" s="273"/>
      <c r="B99" s="246"/>
      <c r="C99" s="99" t="s">
        <v>679</v>
      </c>
      <c r="D99" s="204"/>
      <c r="E99" s="204"/>
      <c r="F99" s="204"/>
      <c r="G99" s="1011">
        <v>0</v>
      </c>
      <c r="H99" s="552">
        <v>0</v>
      </c>
      <c r="I99" s="552">
        <v>0</v>
      </c>
      <c r="J99" s="1025">
        <v>0</v>
      </c>
      <c r="K99" s="122">
        <f t="shared" si="11"/>
        <v>0</v>
      </c>
      <c r="L99" s="122">
        <f t="shared" si="12"/>
        <v>0</v>
      </c>
    </row>
    <row r="100" spans="1:12" ht="13.5" customHeight="1">
      <c r="A100" s="273"/>
      <c r="B100" s="246"/>
      <c r="C100" s="99" t="s">
        <v>680</v>
      </c>
      <c r="D100" s="204"/>
      <c r="E100" s="204"/>
      <c r="F100" s="204"/>
      <c r="G100" s="558">
        <f>SUM(G101:G104)</f>
        <v>0</v>
      </c>
      <c r="H100" s="558">
        <f>SUM(H101:H104)</f>
        <v>0</v>
      </c>
      <c r="I100" s="558">
        <f>SUM(I101:I104)</f>
        <v>0</v>
      </c>
      <c r="J100" s="1031">
        <f>SUM(J101:J104)</f>
        <v>0</v>
      </c>
      <c r="K100" s="122">
        <f t="shared" si="11"/>
        <v>0</v>
      </c>
      <c r="L100" s="122">
        <f t="shared" si="12"/>
        <v>0</v>
      </c>
    </row>
    <row r="101" spans="1:12" ht="13.5" customHeight="1">
      <c r="A101" s="366"/>
      <c r="B101" s="246"/>
      <c r="C101" s="99"/>
      <c r="D101" s="204"/>
      <c r="E101" s="204"/>
      <c r="F101" s="573" t="s">
        <v>316</v>
      </c>
      <c r="G101" s="1012">
        <v>0</v>
      </c>
      <c r="H101" s="559">
        <v>0</v>
      </c>
      <c r="I101" s="559">
        <v>0</v>
      </c>
      <c r="J101" s="1032">
        <v>0</v>
      </c>
      <c r="K101" s="122">
        <f t="shared" si="11"/>
        <v>0</v>
      </c>
      <c r="L101" s="122">
        <f t="shared" si="12"/>
        <v>0</v>
      </c>
    </row>
    <row r="102" spans="1:12" ht="13.5" customHeight="1">
      <c r="A102" s="273"/>
      <c r="B102" s="246"/>
      <c r="C102" s="99"/>
      <c r="D102" s="204"/>
      <c r="E102" s="204"/>
      <c r="F102" s="455" t="s">
        <v>198</v>
      </c>
      <c r="G102" s="1002">
        <v>0</v>
      </c>
      <c r="H102" s="558">
        <v>0</v>
      </c>
      <c r="I102" s="558">
        <v>0</v>
      </c>
      <c r="J102" s="1031">
        <v>0</v>
      </c>
      <c r="K102" s="122">
        <f t="shared" si="11"/>
        <v>0</v>
      </c>
      <c r="L102" s="122">
        <f t="shared" si="12"/>
        <v>0</v>
      </c>
    </row>
    <row r="103" spans="1:12" ht="13.5" customHeight="1">
      <c r="A103" s="273"/>
      <c r="B103" s="364"/>
      <c r="C103" s="289"/>
      <c r="D103" s="365"/>
      <c r="E103" s="365"/>
      <c r="F103" s="455" t="s">
        <v>199</v>
      </c>
      <c r="G103" s="1002">
        <v>0</v>
      </c>
      <c r="H103" s="559">
        <v>0</v>
      </c>
      <c r="I103" s="558">
        <v>0</v>
      </c>
      <c r="J103" s="1031">
        <v>0</v>
      </c>
      <c r="K103" s="122">
        <f t="shared" si="11"/>
        <v>0</v>
      </c>
      <c r="L103" s="122">
        <f t="shared" si="12"/>
        <v>0</v>
      </c>
    </row>
    <row r="104" spans="1:12" ht="13.5" customHeight="1">
      <c r="A104" s="273"/>
      <c r="B104" s="246"/>
      <c r="C104" s="99"/>
      <c r="D104" s="204"/>
      <c r="E104" s="204"/>
      <c r="F104" s="573" t="s">
        <v>315</v>
      </c>
      <c r="G104" s="1013">
        <v>0</v>
      </c>
      <c r="H104" s="559">
        <v>0</v>
      </c>
      <c r="I104" s="558">
        <v>0</v>
      </c>
      <c r="J104" s="1031">
        <v>0</v>
      </c>
      <c r="K104" s="122">
        <f t="shared" si="11"/>
        <v>0</v>
      </c>
      <c r="L104" s="122">
        <f t="shared" si="12"/>
        <v>0</v>
      </c>
    </row>
    <row r="105" spans="1:12" ht="13.5" customHeight="1">
      <c r="A105" s="273"/>
      <c r="B105" s="570"/>
      <c r="C105" s="571" t="s">
        <v>474</v>
      </c>
      <c r="D105" s="572"/>
      <c r="E105" s="572"/>
      <c r="F105" s="572"/>
      <c r="G105" s="1014">
        <v>573</v>
      </c>
      <c r="H105" s="552">
        <v>23000</v>
      </c>
      <c r="I105" s="552">
        <v>324</v>
      </c>
      <c r="J105" s="1025">
        <v>0</v>
      </c>
      <c r="K105" s="122">
        <f t="shared" si="11"/>
        <v>0</v>
      </c>
      <c r="L105" s="122">
        <f t="shared" si="12"/>
        <v>0</v>
      </c>
    </row>
    <row r="106" spans="1:12" ht="13.5" customHeight="1">
      <c r="A106" s="366"/>
      <c r="B106" s="246"/>
      <c r="C106" s="99" t="s">
        <v>681</v>
      </c>
      <c r="D106" s="204"/>
      <c r="E106" s="204"/>
      <c r="F106" s="204"/>
      <c r="G106" s="1011">
        <v>17156</v>
      </c>
      <c r="H106" s="552">
        <v>19930</v>
      </c>
      <c r="I106" s="552">
        <v>52221</v>
      </c>
      <c r="J106" s="1025">
        <v>64072</v>
      </c>
      <c r="K106" s="122">
        <f t="shared" si="11"/>
        <v>3.214851981936779</v>
      </c>
      <c r="L106" s="122">
        <f t="shared" si="12"/>
        <v>1.2269393538997722</v>
      </c>
    </row>
    <row r="107" spans="1:12" ht="13.5" customHeight="1">
      <c r="A107" s="366"/>
      <c r="B107" s="246"/>
      <c r="C107" s="99" t="s">
        <v>401</v>
      </c>
      <c r="D107" s="204"/>
      <c r="E107" s="204"/>
      <c r="F107" s="204"/>
      <c r="G107" s="1011">
        <v>0</v>
      </c>
      <c r="H107" s="552">
        <v>0</v>
      </c>
      <c r="I107" s="552">
        <v>0</v>
      </c>
      <c r="J107" s="1025">
        <v>0</v>
      </c>
      <c r="K107" s="122">
        <f t="shared" si="11"/>
        <v>0</v>
      </c>
      <c r="L107" s="122">
        <f t="shared" si="12"/>
        <v>0</v>
      </c>
    </row>
    <row r="108" spans="1:12" ht="13.5" customHeight="1">
      <c r="A108" s="273"/>
      <c r="B108" s="246"/>
      <c r="C108" s="530" t="s">
        <v>712</v>
      </c>
      <c r="D108" s="204"/>
      <c r="E108" s="204"/>
      <c r="F108" s="204"/>
      <c r="G108" s="559">
        <f>SUM(G109:G110)</f>
        <v>41219</v>
      </c>
      <c r="H108" s="559">
        <f>SUM(H109:H110)</f>
        <v>39600</v>
      </c>
      <c r="I108" s="559">
        <f>SUM(I109:I110)</f>
        <v>5440</v>
      </c>
      <c r="J108" s="1032">
        <f>SUM(J109:J110)</f>
        <v>2000</v>
      </c>
      <c r="K108" s="122">
        <f t="shared" si="11"/>
        <v>0.050505050505050504</v>
      </c>
      <c r="L108" s="122">
        <f t="shared" si="12"/>
        <v>0.36764705882352944</v>
      </c>
    </row>
    <row r="109" spans="1:12" ht="13.5" customHeight="1">
      <c r="A109" s="363"/>
      <c r="B109" s="364"/>
      <c r="C109" s="279"/>
      <c r="D109" s="365"/>
      <c r="E109" s="365"/>
      <c r="F109" s="289" t="s">
        <v>178</v>
      </c>
      <c r="G109" s="1015">
        <v>4900</v>
      </c>
      <c r="H109" s="560">
        <v>2000</v>
      </c>
      <c r="I109" s="560">
        <v>5440</v>
      </c>
      <c r="J109" s="1033">
        <v>2000</v>
      </c>
      <c r="K109" s="362">
        <f t="shared" si="11"/>
        <v>1</v>
      </c>
      <c r="L109" s="362">
        <f t="shared" si="12"/>
        <v>0.36764705882352944</v>
      </c>
    </row>
    <row r="110" spans="1:12" ht="13.5" customHeight="1">
      <c r="A110" s="366"/>
      <c r="B110" s="246"/>
      <c r="C110" s="102"/>
      <c r="D110" s="204"/>
      <c r="E110" s="204"/>
      <c r="F110" s="102" t="s">
        <v>389</v>
      </c>
      <c r="G110" s="1015">
        <v>36319</v>
      </c>
      <c r="H110" s="552">
        <v>37600</v>
      </c>
      <c r="I110" s="552">
        <v>0</v>
      </c>
      <c r="J110" s="1025">
        <v>0</v>
      </c>
      <c r="K110" s="122">
        <f t="shared" si="11"/>
        <v>0</v>
      </c>
      <c r="L110" s="122">
        <f t="shared" si="12"/>
        <v>0</v>
      </c>
    </row>
    <row r="111" spans="1:70" s="23" customFormat="1" ht="13.5" customHeight="1">
      <c r="A111" s="275" t="s">
        <v>325</v>
      </c>
      <c r="B111" s="70" t="s">
        <v>471</v>
      </c>
      <c r="C111" s="87"/>
      <c r="D111" s="248" t="e">
        <f>SUM(D112,D113,D118:D123)</f>
        <v>#REF!</v>
      </c>
      <c r="E111" s="248" t="e">
        <f>SUM(E112,E113,E118:E123)</f>
        <v>#REF!</v>
      </c>
      <c r="F111" s="248"/>
      <c r="G111" s="382">
        <f>SUM(G123:G124,G118:G120,G112:G113)</f>
        <v>28224</v>
      </c>
      <c r="H111" s="382">
        <f>SUM(H123:H124,H118:H120,H112:H113)</f>
        <v>11088</v>
      </c>
      <c r="I111" s="382">
        <f>SUM(I123:I124,I118:I120,I112:I113)</f>
        <v>25246</v>
      </c>
      <c r="J111" s="382">
        <f>SUM(J123:J124,J118:J120,J112:J113)</f>
        <v>4480</v>
      </c>
      <c r="K111" s="121">
        <f t="shared" si="11"/>
        <v>0.40404040404040403</v>
      </c>
      <c r="L111" s="121">
        <f t="shared" si="12"/>
        <v>0.1774538540758932</v>
      </c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</row>
    <row r="112" spans="1:12" ht="13.5" customHeight="1">
      <c r="A112" s="272"/>
      <c r="B112" s="246"/>
      <c r="C112" s="75" t="s">
        <v>679</v>
      </c>
      <c r="D112" s="242">
        <v>1620</v>
      </c>
      <c r="E112" s="243">
        <v>1963</v>
      </c>
      <c r="F112" s="243"/>
      <c r="G112" s="92">
        <v>7727</v>
      </c>
      <c r="H112" s="552">
        <v>2879</v>
      </c>
      <c r="I112" s="552">
        <v>5928</v>
      </c>
      <c r="J112" s="1025">
        <v>472</v>
      </c>
      <c r="K112" s="122">
        <f t="shared" si="11"/>
        <v>0.16394581451893017</v>
      </c>
      <c r="L112" s="122">
        <f t="shared" si="12"/>
        <v>0.0796221322537112</v>
      </c>
    </row>
    <row r="113" spans="1:12" ht="13.5" customHeight="1">
      <c r="A113" s="272"/>
      <c r="B113" s="246"/>
      <c r="C113" s="75" t="s">
        <v>680</v>
      </c>
      <c r="D113" s="249" t="e">
        <f>SUM(#REF!)</f>
        <v>#REF!</v>
      </c>
      <c r="E113" s="250" t="e">
        <f>SUM(#REF!)</f>
        <v>#REF!</v>
      </c>
      <c r="F113" s="250"/>
      <c r="G113" s="561">
        <f>SUM(G114:G117)</f>
        <v>2313</v>
      </c>
      <c r="H113" s="561">
        <f>SUM(H114:H117)</f>
        <v>355</v>
      </c>
      <c r="I113" s="561">
        <f>SUM(I114:I117)</f>
        <v>1603</v>
      </c>
      <c r="J113" s="1034">
        <f>SUM(J114:J117)</f>
        <v>168</v>
      </c>
      <c r="K113" s="122">
        <f t="shared" si="11"/>
        <v>0.4732394366197183</v>
      </c>
      <c r="L113" s="122">
        <f t="shared" si="12"/>
        <v>0.10480349344978165</v>
      </c>
    </row>
    <row r="114" spans="1:12" ht="13.5" customHeight="1">
      <c r="A114" s="272"/>
      <c r="B114" s="246"/>
      <c r="C114" s="75"/>
      <c r="D114" s="249"/>
      <c r="E114" s="250"/>
      <c r="F114" s="800" t="s">
        <v>316</v>
      </c>
      <c r="G114" s="1012">
        <v>1774</v>
      </c>
      <c r="H114" s="561">
        <v>299</v>
      </c>
      <c r="I114" s="561">
        <v>1324</v>
      </c>
      <c r="J114" s="1034">
        <v>137</v>
      </c>
      <c r="K114" s="122">
        <f t="shared" si="11"/>
        <v>0.45819397993311034</v>
      </c>
      <c r="L114" s="122">
        <f t="shared" si="12"/>
        <v>0.10347432024169184</v>
      </c>
    </row>
    <row r="115" spans="1:12" ht="13.5" customHeight="1">
      <c r="A115" s="272"/>
      <c r="B115" s="246"/>
      <c r="C115" s="75"/>
      <c r="D115" s="249"/>
      <c r="E115" s="250"/>
      <c r="F115" s="800" t="s">
        <v>198</v>
      </c>
      <c r="G115" s="1012">
        <v>183</v>
      </c>
      <c r="H115" s="561">
        <v>31</v>
      </c>
      <c r="I115" s="561">
        <v>137</v>
      </c>
      <c r="J115" s="1034">
        <v>14</v>
      </c>
      <c r="K115" s="122">
        <f t="shared" si="11"/>
        <v>0.45161290322580644</v>
      </c>
      <c r="L115" s="122">
        <f t="shared" si="12"/>
        <v>0.10218978102189781</v>
      </c>
    </row>
    <row r="116" spans="1:12" ht="13.5" customHeight="1">
      <c r="A116" s="272"/>
      <c r="B116" s="246"/>
      <c r="C116" s="75"/>
      <c r="D116" s="249"/>
      <c r="E116" s="250"/>
      <c r="F116" s="800" t="s">
        <v>199</v>
      </c>
      <c r="G116" s="1012">
        <v>356</v>
      </c>
      <c r="H116" s="561">
        <v>25</v>
      </c>
      <c r="I116" s="561">
        <v>142</v>
      </c>
      <c r="J116" s="1034">
        <v>17</v>
      </c>
      <c r="K116" s="122">
        <f t="shared" si="11"/>
        <v>0.68</v>
      </c>
      <c r="L116" s="122">
        <f t="shared" si="12"/>
        <v>0.11971830985915492</v>
      </c>
    </row>
    <row r="117" spans="1:12" ht="13.5" customHeight="1">
      <c r="A117" s="272"/>
      <c r="B117" s="246"/>
      <c r="C117" s="75"/>
      <c r="D117" s="249"/>
      <c r="E117" s="250"/>
      <c r="F117" s="800" t="s">
        <v>315</v>
      </c>
      <c r="G117" s="1012">
        <v>0</v>
      </c>
      <c r="H117" s="561">
        <v>0</v>
      </c>
      <c r="I117" s="561">
        <v>0</v>
      </c>
      <c r="J117" s="1034">
        <v>0</v>
      </c>
      <c r="K117" s="122">
        <f t="shared" si="11"/>
        <v>0</v>
      </c>
      <c r="L117" s="122">
        <f t="shared" si="12"/>
        <v>0</v>
      </c>
    </row>
    <row r="118" spans="1:12" ht="13.5" customHeight="1">
      <c r="A118" s="272"/>
      <c r="B118" s="246"/>
      <c r="C118" s="75" t="s">
        <v>681</v>
      </c>
      <c r="D118" s="242">
        <v>0</v>
      </c>
      <c r="E118" s="243">
        <v>3093</v>
      </c>
      <c r="F118" s="243"/>
      <c r="G118" s="92">
        <v>14703</v>
      </c>
      <c r="H118" s="552">
        <v>7259</v>
      </c>
      <c r="I118" s="552">
        <v>16025</v>
      </c>
      <c r="J118" s="1025">
        <v>3840</v>
      </c>
      <c r="K118" s="122">
        <f t="shared" si="11"/>
        <v>0.5289984846397575</v>
      </c>
      <c r="L118" s="122">
        <f t="shared" si="12"/>
        <v>0.23962558502340095</v>
      </c>
    </row>
    <row r="119" spans="1:12" ht="13.5" customHeight="1">
      <c r="A119" s="272"/>
      <c r="B119" s="246"/>
      <c r="C119" s="99" t="s">
        <v>401</v>
      </c>
      <c r="D119" s="242">
        <v>0</v>
      </c>
      <c r="E119" s="243">
        <v>30</v>
      </c>
      <c r="F119" s="243"/>
      <c r="G119" s="92">
        <v>113</v>
      </c>
      <c r="H119" s="552">
        <v>100</v>
      </c>
      <c r="I119" s="552">
        <v>0</v>
      </c>
      <c r="J119" s="1025">
        <v>0</v>
      </c>
      <c r="K119" s="122">
        <f t="shared" si="11"/>
        <v>0</v>
      </c>
      <c r="L119" s="122">
        <f t="shared" si="12"/>
        <v>0</v>
      </c>
    </row>
    <row r="120" spans="1:12" ht="13.5" customHeight="1">
      <c r="A120" s="272"/>
      <c r="B120" s="246"/>
      <c r="C120" s="530" t="s">
        <v>712</v>
      </c>
      <c r="D120" s="242"/>
      <c r="E120" s="243"/>
      <c r="F120" s="243"/>
      <c r="G120" s="552">
        <f>SUM(G121:G122)</f>
        <v>3273</v>
      </c>
      <c r="H120" s="552">
        <f>SUM(H121:H122)</f>
        <v>495</v>
      </c>
      <c r="I120" s="552">
        <f>SUM(I121:I122)</f>
        <v>1690</v>
      </c>
      <c r="J120" s="1025">
        <f>SUM(J121:J122)</f>
        <v>0</v>
      </c>
      <c r="K120" s="122">
        <f t="shared" si="11"/>
        <v>0</v>
      </c>
      <c r="L120" s="122">
        <f t="shared" si="12"/>
        <v>0</v>
      </c>
    </row>
    <row r="121" spans="1:12" ht="13.5" customHeight="1">
      <c r="A121" s="272"/>
      <c r="B121" s="246"/>
      <c r="C121" s="79"/>
      <c r="D121" s="242"/>
      <c r="E121" s="243"/>
      <c r="F121" s="289" t="s">
        <v>178</v>
      </c>
      <c r="G121" s="1015">
        <v>3273</v>
      </c>
      <c r="H121" s="552">
        <v>400</v>
      </c>
      <c r="I121" s="552">
        <v>1690</v>
      </c>
      <c r="J121" s="1025">
        <v>0</v>
      </c>
      <c r="K121" s="122">
        <f>IF(H121=0,0,J121/H121)</f>
        <v>0</v>
      </c>
      <c r="L121" s="122">
        <f>IF(I121=0,0,J121/I121)</f>
        <v>0</v>
      </c>
    </row>
    <row r="122" spans="1:12" ht="13.5" customHeight="1">
      <c r="A122" s="272"/>
      <c r="B122" s="246"/>
      <c r="C122" s="79"/>
      <c r="D122" s="242"/>
      <c r="E122" s="243"/>
      <c r="F122" s="79" t="s">
        <v>944</v>
      </c>
      <c r="G122" s="1009">
        <v>0</v>
      </c>
      <c r="H122" s="552">
        <v>95</v>
      </c>
      <c r="I122" s="552">
        <v>0</v>
      </c>
      <c r="J122" s="1025">
        <v>0</v>
      </c>
      <c r="K122" s="122">
        <f>IF(H122=0,0,J122/H122)</f>
        <v>0</v>
      </c>
      <c r="L122" s="122">
        <f>IF(I122=0,0,J122/I122)</f>
        <v>0</v>
      </c>
    </row>
    <row r="123" spans="1:12" ht="13.5" customHeight="1">
      <c r="A123" s="272"/>
      <c r="B123" s="246"/>
      <c r="C123" s="79" t="s">
        <v>177</v>
      </c>
      <c r="D123" s="242">
        <v>0</v>
      </c>
      <c r="E123" s="243"/>
      <c r="F123" s="243"/>
      <c r="G123" s="92">
        <v>95</v>
      </c>
      <c r="H123" s="552">
        <v>0</v>
      </c>
      <c r="I123" s="552">
        <v>0</v>
      </c>
      <c r="J123" s="1025">
        <v>0</v>
      </c>
      <c r="K123" s="122">
        <f t="shared" si="11"/>
        <v>0</v>
      </c>
      <c r="L123" s="122">
        <f t="shared" si="12"/>
        <v>0</v>
      </c>
    </row>
    <row r="124" spans="1:12" ht="13.5" customHeight="1">
      <c r="A124" s="270"/>
      <c r="B124" s="245"/>
      <c r="C124" s="86" t="s">
        <v>713</v>
      </c>
      <c r="D124" s="242"/>
      <c r="E124" s="243"/>
      <c r="F124" s="243"/>
      <c r="G124" s="92">
        <v>0</v>
      </c>
      <c r="H124" s="552">
        <v>0</v>
      </c>
      <c r="I124" s="552">
        <v>0</v>
      </c>
      <c r="J124" s="1025">
        <v>0</v>
      </c>
      <c r="K124" s="122">
        <f t="shared" si="11"/>
        <v>0</v>
      </c>
      <c r="L124" s="122">
        <f t="shared" si="12"/>
        <v>0</v>
      </c>
    </row>
    <row r="125" spans="1:70" s="23" customFormat="1" ht="13.5" customHeight="1">
      <c r="A125" s="275" t="s">
        <v>329</v>
      </c>
      <c r="B125" s="252" t="s">
        <v>457</v>
      </c>
      <c r="C125" s="97"/>
      <c r="D125" s="89" t="e">
        <f>SUM(D126,D128,D134,#REF!,D136,D139,D140)</f>
        <v>#REF!</v>
      </c>
      <c r="E125" s="89" t="e">
        <f>SUM(E126,E128,E134,#REF!,E136,E139,E140)</f>
        <v>#REF!</v>
      </c>
      <c r="F125" s="90"/>
      <c r="G125" s="89">
        <f>SUM(G126,G128,G134,G135,G138,G143:G150,G153,G158,G161,G165)</f>
        <v>4029452</v>
      </c>
      <c r="H125" s="89">
        <f>SUM(H126,H128,H134,H135,H138,H143:H150,H153,H158,H161,H165)</f>
        <v>5170239</v>
      </c>
      <c r="I125" s="89">
        <f>SUM(I126,I128,I134,I135,I138,I143:I150,I153,I158,I161,I165)</f>
        <v>8910978</v>
      </c>
      <c r="J125" s="89">
        <f>SUM(J126,J128,J134,J135,J138,J143:J150,J153,J158,J161,J165)</f>
        <v>5530155</v>
      </c>
      <c r="K125" s="121">
        <f t="shared" si="11"/>
        <v>1.0696130294943813</v>
      </c>
      <c r="L125" s="121">
        <f aca="true" t="shared" si="13" ref="L125:L158">IF(I125=0,0,J125/I125)</f>
        <v>0.6206002304124194</v>
      </c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</row>
    <row r="126" spans="1:70" s="21" customFormat="1" ht="13.5" customHeight="1">
      <c r="A126" s="276"/>
      <c r="B126" s="260"/>
      <c r="C126" s="99" t="s">
        <v>679</v>
      </c>
      <c r="D126" s="254">
        <v>211132</v>
      </c>
      <c r="E126" s="255">
        <v>223678</v>
      </c>
      <c r="F126" s="255"/>
      <c r="G126" s="296">
        <v>833189</v>
      </c>
      <c r="H126" s="552">
        <v>907118</v>
      </c>
      <c r="I126" s="552">
        <v>950525</v>
      </c>
      <c r="J126" s="1025">
        <v>866681</v>
      </c>
      <c r="K126" s="122">
        <f aca="true" t="shared" si="14" ref="K126:K158">IF(H126=0,0,J126/H126)</f>
        <v>0.9554225580354485</v>
      </c>
      <c r="L126" s="122">
        <f t="shared" si="13"/>
        <v>0.9117919044738434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</row>
    <row r="127" spans="1:70" s="21" customFormat="1" ht="13.5" customHeight="1">
      <c r="A127" s="276"/>
      <c r="B127" s="235"/>
      <c r="C127" s="256"/>
      <c r="D127" s="254"/>
      <c r="E127" s="255"/>
      <c r="F127" s="261" t="s">
        <v>473</v>
      </c>
      <c r="G127" s="1016">
        <v>92991</v>
      </c>
      <c r="H127" s="552">
        <v>93677</v>
      </c>
      <c r="I127" s="552">
        <v>76714</v>
      </c>
      <c r="J127" s="1025">
        <v>70018</v>
      </c>
      <c r="K127" s="122">
        <f t="shared" si="14"/>
        <v>0.7474406738046693</v>
      </c>
      <c r="L127" s="122">
        <f t="shared" si="13"/>
        <v>0.9127147587141852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</row>
    <row r="128" spans="1:12" ht="13.5" customHeight="1">
      <c r="A128" s="276"/>
      <c r="B128" s="246"/>
      <c r="C128" s="99" t="s">
        <v>680</v>
      </c>
      <c r="D128" s="249" t="e">
        <f>SUM(#REF!)</f>
        <v>#REF!</v>
      </c>
      <c r="E128" s="250" t="e">
        <f>SUM(#REF!)</f>
        <v>#REF!</v>
      </c>
      <c r="F128" s="250"/>
      <c r="G128" s="556">
        <f>SUM(G130:G133)</f>
        <v>256493</v>
      </c>
      <c r="H128" s="556">
        <f>SUM(H130:H133)</f>
        <v>274442</v>
      </c>
      <c r="I128" s="556">
        <f>SUM(I130:I133)</f>
        <v>285643</v>
      </c>
      <c r="J128" s="1030">
        <f>SUM(J130:J133)</f>
        <v>262499</v>
      </c>
      <c r="K128" s="122">
        <f t="shared" si="14"/>
        <v>0.9564826083471188</v>
      </c>
      <c r="L128" s="122">
        <f t="shared" si="13"/>
        <v>0.9189757844582224</v>
      </c>
    </row>
    <row r="129" spans="1:12" ht="13.5" customHeight="1">
      <c r="A129" s="276"/>
      <c r="B129" s="235"/>
      <c r="C129" s="245"/>
      <c r="D129" s="249"/>
      <c r="E129" s="250"/>
      <c r="F129" s="261" t="s">
        <v>473</v>
      </c>
      <c r="G129" s="1016">
        <v>26990</v>
      </c>
      <c r="H129" s="552">
        <v>26977</v>
      </c>
      <c r="I129" s="552">
        <v>22004</v>
      </c>
      <c r="J129" s="1025">
        <v>20890</v>
      </c>
      <c r="K129" s="122">
        <f t="shared" si="14"/>
        <v>0.7743633465544724</v>
      </c>
      <c r="L129" s="122">
        <f t="shared" si="13"/>
        <v>0.9493728413015815</v>
      </c>
    </row>
    <row r="130" spans="1:12" ht="13.5" customHeight="1">
      <c r="A130" s="277"/>
      <c r="B130" s="235"/>
      <c r="C130" s="245"/>
      <c r="D130" s="249"/>
      <c r="E130" s="250"/>
      <c r="F130" s="800" t="s">
        <v>316</v>
      </c>
      <c r="G130" s="1012">
        <v>224646</v>
      </c>
      <c r="H130" s="552">
        <v>245129</v>
      </c>
      <c r="I130" s="552">
        <v>253525</v>
      </c>
      <c r="J130" s="1025">
        <v>232338</v>
      </c>
      <c r="K130" s="122">
        <f>IF(H130=0,0,J130/H130)</f>
        <v>0.9478193114645758</v>
      </c>
      <c r="L130" s="122">
        <f>IF(I130=0,0,J130/I130)</f>
        <v>0.9164303323143674</v>
      </c>
    </row>
    <row r="131" spans="1:12" ht="13.5" customHeight="1">
      <c r="A131" s="277"/>
      <c r="B131" s="235"/>
      <c r="C131" s="245"/>
      <c r="D131" s="249"/>
      <c r="E131" s="250"/>
      <c r="F131" s="800" t="s">
        <v>198</v>
      </c>
      <c r="G131" s="1012">
        <v>20134</v>
      </c>
      <c r="H131" s="552">
        <v>21677</v>
      </c>
      <c r="I131" s="552">
        <v>23473</v>
      </c>
      <c r="J131" s="1025">
        <v>21293</v>
      </c>
      <c r="K131" s="122">
        <f>IF(H131=0,0,J131/H131)</f>
        <v>0.98228537159201</v>
      </c>
      <c r="L131" s="122">
        <f>IF(I131=0,0,J131/I131)</f>
        <v>0.9071273377923572</v>
      </c>
    </row>
    <row r="132" spans="1:12" ht="13.5" customHeight="1">
      <c r="A132" s="277"/>
      <c r="B132" s="235"/>
      <c r="C132" s="245"/>
      <c r="D132" s="249"/>
      <c r="E132" s="250"/>
      <c r="F132" s="800" t="s">
        <v>199</v>
      </c>
      <c r="G132" s="1012">
        <v>9962</v>
      </c>
      <c r="H132" s="552">
        <v>5436</v>
      </c>
      <c r="I132" s="552">
        <v>5994</v>
      </c>
      <c r="J132" s="1025">
        <v>6068</v>
      </c>
      <c r="K132" s="122">
        <f>IF(H132=0,0,J132/H132)</f>
        <v>1.11626195732156</v>
      </c>
      <c r="L132" s="122">
        <f>IF(I132=0,0,J132/I132)</f>
        <v>1.0123456790123457</v>
      </c>
    </row>
    <row r="133" spans="1:12" ht="13.5" customHeight="1">
      <c r="A133" s="277"/>
      <c r="B133" s="235"/>
      <c r="C133" s="245"/>
      <c r="D133" s="249"/>
      <c r="E133" s="250"/>
      <c r="F133" s="800" t="s">
        <v>315</v>
      </c>
      <c r="G133" s="1012">
        <v>1751</v>
      </c>
      <c r="H133" s="552">
        <v>2200</v>
      </c>
      <c r="I133" s="552">
        <v>2651</v>
      </c>
      <c r="J133" s="1025">
        <v>2800</v>
      </c>
      <c r="K133" s="122">
        <f>IF(H133=0,0,J133/H133)</f>
        <v>1.2727272727272727</v>
      </c>
      <c r="L133" s="122">
        <f>IF(I133=0,0,J133/I133)</f>
        <v>1.0562052055827988</v>
      </c>
    </row>
    <row r="134" spans="1:12" ht="13.5" customHeight="1">
      <c r="A134" s="277"/>
      <c r="B134" s="246"/>
      <c r="C134" s="99" t="s">
        <v>681</v>
      </c>
      <c r="D134" s="254">
        <v>168686</v>
      </c>
      <c r="E134" s="255">
        <v>284089</v>
      </c>
      <c r="F134" s="255"/>
      <c r="G134" s="296">
        <v>1223177</v>
      </c>
      <c r="H134" s="552">
        <v>876810</v>
      </c>
      <c r="I134" s="552">
        <v>3001038</v>
      </c>
      <c r="J134" s="1025">
        <v>1078386</v>
      </c>
      <c r="K134" s="122">
        <f t="shared" si="14"/>
        <v>1.2298970130358915</v>
      </c>
      <c r="L134" s="122">
        <f t="shared" si="13"/>
        <v>0.3593376691664684</v>
      </c>
    </row>
    <row r="135" spans="1:12" ht="13.5" customHeight="1">
      <c r="A135" s="277"/>
      <c r="B135" s="246"/>
      <c r="C135" s="99" t="s">
        <v>401</v>
      </c>
      <c r="D135" s="254"/>
      <c r="E135" s="255"/>
      <c r="F135" s="255"/>
      <c r="G135" s="203">
        <f>SUM(G136:G136)</f>
        <v>47764</v>
      </c>
      <c r="H135" s="203">
        <f>SUM(H136:H136)</f>
        <v>58400</v>
      </c>
      <c r="I135" s="203">
        <f>SUM(I136:I136)</f>
        <v>467215</v>
      </c>
      <c r="J135" s="1035">
        <f>SUM(J136:J136)</f>
        <v>106920</v>
      </c>
      <c r="K135" s="122">
        <f t="shared" si="14"/>
        <v>1.8308219178082192</v>
      </c>
      <c r="L135" s="122">
        <f t="shared" si="13"/>
        <v>0.22884539237824128</v>
      </c>
    </row>
    <row r="136" spans="1:70" s="21" customFormat="1" ht="13.5" customHeight="1">
      <c r="A136" s="591"/>
      <c r="B136" s="592"/>
      <c r="C136" s="279"/>
      <c r="D136" s="593">
        <v>147700</v>
      </c>
      <c r="E136" s="594">
        <v>196371</v>
      </c>
      <c r="F136" s="218" t="s">
        <v>180</v>
      </c>
      <c r="G136" s="1017">
        <v>47764</v>
      </c>
      <c r="H136" s="560">
        <v>58400</v>
      </c>
      <c r="I136" s="560">
        <v>467215</v>
      </c>
      <c r="J136" s="1033">
        <v>106920</v>
      </c>
      <c r="K136" s="362">
        <f t="shared" si="14"/>
        <v>1.8308219178082192</v>
      </c>
      <c r="L136" s="362">
        <f t="shared" si="13"/>
        <v>0.22884539237824128</v>
      </c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</row>
    <row r="137" spans="1:70" s="21" customFormat="1" ht="13.5" customHeight="1">
      <c r="A137" s="595"/>
      <c r="B137" s="596"/>
      <c r="C137" s="597"/>
      <c r="D137" s="598"/>
      <c r="E137" s="599"/>
      <c r="F137" s="801" t="s">
        <v>447</v>
      </c>
      <c r="G137" s="1018">
        <v>0</v>
      </c>
      <c r="H137" s="600">
        <v>0</v>
      </c>
      <c r="I137" s="600">
        <v>402821</v>
      </c>
      <c r="J137" s="1036">
        <v>0</v>
      </c>
      <c r="K137" s="601">
        <f>IF(H137=0,0,J137/H137)</f>
        <v>0</v>
      </c>
      <c r="L137" s="601">
        <f>IF(I137=0,0,J137/I137)</f>
        <v>0</v>
      </c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</row>
    <row r="138" spans="1:12" ht="13.5" customHeight="1">
      <c r="A138" s="277"/>
      <c r="B138" s="246"/>
      <c r="C138" s="530" t="s">
        <v>714</v>
      </c>
      <c r="D138" s="254">
        <v>36000</v>
      </c>
      <c r="E138" s="255">
        <v>29000</v>
      </c>
      <c r="F138" s="255"/>
      <c r="G138" s="203">
        <f>SUM(G139:G142)</f>
        <v>176274</v>
      </c>
      <c r="H138" s="203">
        <f>SUM(H139:H142)</f>
        <v>246270</v>
      </c>
      <c r="I138" s="203">
        <f>SUM(I139:I142)</f>
        <v>277431</v>
      </c>
      <c r="J138" s="1035">
        <f>SUM(J139:J142)</f>
        <v>194285</v>
      </c>
      <c r="K138" s="122">
        <f t="shared" si="14"/>
        <v>0.7889105453364194</v>
      </c>
      <c r="L138" s="122">
        <f t="shared" si="13"/>
        <v>0.70030025483814</v>
      </c>
    </row>
    <row r="139" spans="1:70" s="21" customFormat="1" ht="13.5" customHeight="1">
      <c r="A139" s="277"/>
      <c r="B139" s="257"/>
      <c r="C139" s="256"/>
      <c r="D139" s="254">
        <v>200</v>
      </c>
      <c r="E139" s="255">
        <v>4011</v>
      </c>
      <c r="F139" s="99" t="s">
        <v>178</v>
      </c>
      <c r="G139" s="1015">
        <v>130524</v>
      </c>
      <c r="H139" s="552">
        <v>122270</v>
      </c>
      <c r="I139" s="552">
        <v>138839</v>
      </c>
      <c r="J139" s="1025">
        <v>70285</v>
      </c>
      <c r="K139" s="122">
        <f t="shared" si="14"/>
        <v>0.5748343829230391</v>
      </c>
      <c r="L139" s="122">
        <f t="shared" si="13"/>
        <v>0.5062338391950388</v>
      </c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</row>
    <row r="140" spans="1:12" ht="13.5" customHeight="1">
      <c r="A140" s="277"/>
      <c r="B140" s="257"/>
      <c r="C140" s="245"/>
      <c r="D140" s="249">
        <f>SUM(D141:D144)</f>
        <v>207972</v>
      </c>
      <c r="E140" s="250">
        <f>SUM(E141:E144)</f>
        <v>224078</v>
      </c>
      <c r="F140" s="99" t="s">
        <v>399</v>
      </c>
      <c r="G140" s="1015">
        <v>45500</v>
      </c>
      <c r="H140" s="552">
        <v>124000</v>
      </c>
      <c r="I140" s="552">
        <v>138492</v>
      </c>
      <c r="J140" s="1025">
        <v>124000</v>
      </c>
      <c r="K140" s="122">
        <f t="shared" si="14"/>
        <v>1</v>
      </c>
      <c r="L140" s="122">
        <f t="shared" si="13"/>
        <v>0.8953585766686885</v>
      </c>
    </row>
    <row r="141" spans="1:12" ht="13.5" customHeight="1">
      <c r="A141" s="277"/>
      <c r="B141" s="98"/>
      <c r="C141" s="245"/>
      <c r="D141" s="254">
        <v>16700</v>
      </c>
      <c r="E141" s="255">
        <v>33306</v>
      </c>
      <c r="F141" s="102" t="s">
        <v>179</v>
      </c>
      <c r="G141" s="1015">
        <v>250</v>
      </c>
      <c r="H141" s="552">
        <v>0</v>
      </c>
      <c r="I141" s="552">
        <v>0</v>
      </c>
      <c r="J141" s="1025">
        <v>0</v>
      </c>
      <c r="K141" s="122">
        <f t="shared" si="14"/>
        <v>0</v>
      </c>
      <c r="L141" s="122">
        <f t="shared" si="13"/>
        <v>0</v>
      </c>
    </row>
    <row r="142" spans="1:12" ht="13.5" customHeight="1">
      <c r="A142" s="277"/>
      <c r="B142" s="98"/>
      <c r="C142" s="245"/>
      <c r="D142" s="254"/>
      <c r="E142" s="255"/>
      <c r="F142" s="102" t="s">
        <v>446</v>
      </c>
      <c r="G142" s="1015">
        <v>0</v>
      </c>
      <c r="H142" s="552">
        <v>0</v>
      </c>
      <c r="I142" s="552">
        <v>100</v>
      </c>
      <c r="J142" s="1025">
        <v>0</v>
      </c>
      <c r="K142" s="122">
        <f t="shared" si="14"/>
        <v>0</v>
      </c>
      <c r="L142" s="122">
        <f t="shared" si="13"/>
        <v>0</v>
      </c>
    </row>
    <row r="143" spans="1:12" ht="13.5" customHeight="1">
      <c r="A143" s="277"/>
      <c r="B143" s="246"/>
      <c r="C143" s="102" t="s">
        <v>474</v>
      </c>
      <c r="D143" s="254">
        <v>191272</v>
      </c>
      <c r="E143" s="255">
        <v>181741</v>
      </c>
      <c r="F143" s="802"/>
      <c r="G143" s="296">
        <v>220</v>
      </c>
      <c r="H143" s="552">
        <v>0</v>
      </c>
      <c r="I143" s="552">
        <v>356</v>
      </c>
      <c r="J143" s="1025">
        <v>0</v>
      </c>
      <c r="K143" s="122">
        <f t="shared" si="14"/>
        <v>0</v>
      </c>
      <c r="L143" s="122">
        <f t="shared" si="13"/>
        <v>0</v>
      </c>
    </row>
    <row r="144" spans="1:70" s="20" customFormat="1" ht="13.5" customHeight="1">
      <c r="A144" s="277"/>
      <c r="B144" s="258"/>
      <c r="C144" s="102" t="s">
        <v>682</v>
      </c>
      <c r="D144" s="254">
        <v>0</v>
      </c>
      <c r="E144" s="255">
        <v>9031</v>
      </c>
      <c r="F144" s="296"/>
      <c r="G144" s="296">
        <v>8255</v>
      </c>
      <c r="H144" s="552">
        <v>2000</v>
      </c>
      <c r="I144" s="552">
        <v>12224</v>
      </c>
      <c r="J144" s="1025">
        <v>0</v>
      </c>
      <c r="K144" s="122">
        <f t="shared" si="14"/>
        <v>0</v>
      </c>
      <c r="L144" s="122">
        <f t="shared" si="13"/>
        <v>0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</row>
    <row r="145" spans="1:70" s="20" customFormat="1" ht="13.5" customHeight="1">
      <c r="A145" s="277"/>
      <c r="B145" s="258"/>
      <c r="C145" s="218" t="s">
        <v>342</v>
      </c>
      <c r="D145" s="254"/>
      <c r="E145" s="255"/>
      <c r="F145" s="296"/>
      <c r="G145" s="296">
        <v>0</v>
      </c>
      <c r="H145" s="552">
        <v>0</v>
      </c>
      <c r="I145" s="552">
        <v>0</v>
      </c>
      <c r="J145" s="1025">
        <v>0</v>
      </c>
      <c r="K145" s="122">
        <f t="shared" si="14"/>
        <v>0</v>
      </c>
      <c r="L145" s="122">
        <f t="shared" si="13"/>
        <v>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</row>
    <row r="146" spans="1:70" s="20" customFormat="1" ht="13.5" customHeight="1">
      <c r="A146" s="277"/>
      <c r="B146" s="258"/>
      <c r="C146" s="102" t="s">
        <v>184</v>
      </c>
      <c r="D146" s="254"/>
      <c r="E146" s="255"/>
      <c r="F146" s="296"/>
      <c r="G146" s="296">
        <v>0</v>
      </c>
      <c r="H146" s="552">
        <v>0</v>
      </c>
      <c r="I146" s="552">
        <v>0</v>
      </c>
      <c r="J146" s="1025">
        <v>0</v>
      </c>
      <c r="K146" s="122">
        <f t="shared" si="14"/>
        <v>0</v>
      </c>
      <c r="L146" s="122">
        <f t="shared" si="13"/>
        <v>0</v>
      </c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</row>
    <row r="147" spans="1:70" s="20" customFormat="1" ht="13.5" customHeight="1">
      <c r="A147" s="277"/>
      <c r="B147" s="258"/>
      <c r="C147" s="102" t="s">
        <v>683</v>
      </c>
      <c r="D147" s="254"/>
      <c r="E147" s="255"/>
      <c r="F147" s="296"/>
      <c r="G147" s="296">
        <v>128070</v>
      </c>
      <c r="H147" s="552">
        <v>66420</v>
      </c>
      <c r="I147" s="552">
        <v>86710</v>
      </c>
      <c r="J147" s="1025">
        <v>89430</v>
      </c>
      <c r="K147" s="122">
        <f t="shared" si="14"/>
        <v>1.3464317976513098</v>
      </c>
      <c r="L147" s="122">
        <f t="shared" si="13"/>
        <v>1.0313689309191558</v>
      </c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</row>
    <row r="148" spans="1:70" s="20" customFormat="1" ht="13.5" customHeight="1">
      <c r="A148" s="277"/>
      <c r="B148" s="258"/>
      <c r="C148" s="102" t="s">
        <v>215</v>
      </c>
      <c r="D148" s="254"/>
      <c r="E148" s="255"/>
      <c r="F148" s="296"/>
      <c r="G148" s="296">
        <v>1213098</v>
      </c>
      <c r="H148" s="552">
        <v>490943</v>
      </c>
      <c r="I148" s="552">
        <v>863846</v>
      </c>
      <c r="J148" s="1025">
        <v>18000</v>
      </c>
      <c r="K148" s="122">
        <f t="shared" si="14"/>
        <v>0.03666413412555022</v>
      </c>
      <c r="L148" s="122">
        <f t="shared" si="13"/>
        <v>0.020837047344086795</v>
      </c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</row>
    <row r="149" spans="1:70" s="20" customFormat="1" ht="13.5" customHeight="1">
      <c r="A149" s="277"/>
      <c r="B149" s="258"/>
      <c r="C149" s="102" t="s">
        <v>216</v>
      </c>
      <c r="D149" s="254"/>
      <c r="E149" s="255"/>
      <c r="F149" s="296"/>
      <c r="G149" s="296">
        <v>0</v>
      </c>
      <c r="H149" s="552">
        <v>0</v>
      </c>
      <c r="I149" s="552">
        <v>0</v>
      </c>
      <c r="J149" s="1025">
        <v>0</v>
      </c>
      <c r="K149" s="122">
        <f t="shared" si="14"/>
        <v>0</v>
      </c>
      <c r="L149" s="122">
        <f t="shared" si="13"/>
        <v>0</v>
      </c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</row>
    <row r="150" spans="1:70" s="20" customFormat="1" ht="13.5" customHeight="1">
      <c r="A150" s="277"/>
      <c r="B150" s="258"/>
      <c r="C150" s="102" t="s">
        <v>403</v>
      </c>
      <c r="D150" s="254"/>
      <c r="E150" s="255"/>
      <c r="F150" s="296"/>
      <c r="G150" s="92">
        <f>SUM(G151:G151)</f>
        <v>0</v>
      </c>
      <c r="H150" s="92">
        <f>SUM(H151:H151)</f>
        <v>85501</v>
      </c>
      <c r="I150" s="92">
        <f>SUM(I151:I151)</f>
        <v>137271</v>
      </c>
      <c r="J150" s="1037">
        <f>SUM(J151:J151)</f>
        <v>111535</v>
      </c>
      <c r="K150" s="122">
        <f t="shared" si="14"/>
        <v>1.3044876668109144</v>
      </c>
      <c r="L150" s="122">
        <f t="shared" si="13"/>
        <v>0.8125168462384627</v>
      </c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</row>
    <row r="151" spans="1:70" s="20" customFormat="1" ht="13.5" customHeight="1">
      <c r="A151" s="591"/>
      <c r="B151" s="603"/>
      <c r="C151" s="604"/>
      <c r="D151" s="593"/>
      <c r="E151" s="594"/>
      <c r="F151" s="218" t="s">
        <v>180</v>
      </c>
      <c r="G151" s="1019">
        <v>0</v>
      </c>
      <c r="H151" s="560">
        <v>85501</v>
      </c>
      <c r="I151" s="560">
        <v>137271</v>
      </c>
      <c r="J151" s="1033">
        <v>111535</v>
      </c>
      <c r="K151" s="362">
        <f t="shared" si="14"/>
        <v>1.3044876668109144</v>
      </c>
      <c r="L151" s="362">
        <f t="shared" si="13"/>
        <v>0.8125168462384627</v>
      </c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</row>
    <row r="152" spans="1:70" s="20" customFormat="1" ht="13.5" customHeight="1">
      <c r="A152" s="595"/>
      <c r="B152" s="605"/>
      <c r="C152" s="606"/>
      <c r="D152" s="598"/>
      <c r="E152" s="599"/>
      <c r="F152" s="801" t="s">
        <v>447</v>
      </c>
      <c r="G152" s="1018">
        <v>0</v>
      </c>
      <c r="H152" s="607">
        <v>0</v>
      </c>
      <c r="I152" s="607">
        <v>114272</v>
      </c>
      <c r="J152" s="1038">
        <v>0</v>
      </c>
      <c r="K152" s="601">
        <f>IF(H152=0,0,J152/H152)</f>
        <v>0</v>
      </c>
      <c r="L152" s="601">
        <f>IF(I152=0,0,J152/I152)</f>
        <v>0</v>
      </c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</row>
    <row r="153" spans="1:70" s="20" customFormat="1" ht="13.5" customHeight="1">
      <c r="A153" s="277"/>
      <c r="B153" s="258"/>
      <c r="C153" s="102" t="s">
        <v>528</v>
      </c>
      <c r="D153" s="254"/>
      <c r="E153" s="255"/>
      <c r="F153" s="255"/>
      <c r="G153" s="92">
        <f>SUM(G154:G157)</f>
        <v>32219</v>
      </c>
      <c r="H153" s="92">
        <f>SUM(H154:H157)</f>
        <v>58300</v>
      </c>
      <c r="I153" s="92">
        <f>SUM(I154:I157)</f>
        <v>23450</v>
      </c>
      <c r="J153" s="1037">
        <f>SUM(J154:J157)</f>
        <v>20000</v>
      </c>
      <c r="K153" s="122">
        <f t="shared" si="14"/>
        <v>0.34305317324185247</v>
      </c>
      <c r="L153" s="122">
        <f t="shared" si="13"/>
        <v>0.8528784648187633</v>
      </c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</row>
    <row r="154" spans="1:70" s="20" customFormat="1" ht="13.5" customHeight="1">
      <c r="A154" s="277"/>
      <c r="B154" s="257"/>
      <c r="C154" s="259"/>
      <c r="D154" s="254"/>
      <c r="E154" s="255"/>
      <c r="F154" s="99" t="s">
        <v>178</v>
      </c>
      <c r="G154" s="1015">
        <v>4200</v>
      </c>
      <c r="H154" s="552">
        <v>35000</v>
      </c>
      <c r="I154" s="552">
        <v>5000</v>
      </c>
      <c r="J154" s="1025">
        <v>0</v>
      </c>
      <c r="K154" s="122">
        <f t="shared" si="14"/>
        <v>0</v>
      </c>
      <c r="L154" s="122">
        <f t="shared" si="13"/>
        <v>0</v>
      </c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</row>
    <row r="155" spans="1:70" s="20" customFormat="1" ht="13.5" customHeight="1">
      <c r="A155" s="277"/>
      <c r="B155" s="257"/>
      <c r="C155" s="259"/>
      <c r="D155" s="254"/>
      <c r="E155" s="255"/>
      <c r="F155" s="295" t="s">
        <v>181</v>
      </c>
      <c r="G155" s="340">
        <v>10650</v>
      </c>
      <c r="H155" s="552">
        <v>20000</v>
      </c>
      <c r="I155" s="552">
        <v>15450</v>
      </c>
      <c r="J155" s="1025">
        <v>20000</v>
      </c>
      <c r="K155" s="122">
        <f t="shared" si="14"/>
        <v>1</v>
      </c>
      <c r="L155" s="122">
        <f t="shared" si="13"/>
        <v>1.2944983818770226</v>
      </c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</row>
    <row r="156" spans="1:70" s="20" customFormat="1" ht="13.5" customHeight="1">
      <c r="A156" s="277"/>
      <c r="B156" s="257"/>
      <c r="C156" s="259"/>
      <c r="D156" s="254"/>
      <c r="E156" s="255"/>
      <c r="F156" s="295" t="s">
        <v>892</v>
      </c>
      <c r="G156" s="340">
        <v>10369</v>
      </c>
      <c r="H156" s="552">
        <v>0</v>
      </c>
      <c r="I156" s="552">
        <v>0</v>
      </c>
      <c r="J156" s="1025">
        <v>0</v>
      </c>
      <c r="K156" s="122">
        <f t="shared" si="14"/>
        <v>0</v>
      </c>
      <c r="L156" s="122">
        <f t="shared" si="13"/>
        <v>0</v>
      </c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</row>
    <row r="157" spans="1:70" s="20" customFormat="1" ht="13.5" customHeight="1">
      <c r="A157" s="277"/>
      <c r="B157" s="257"/>
      <c r="C157" s="259"/>
      <c r="D157" s="254"/>
      <c r="E157" s="255"/>
      <c r="F157" s="295" t="s">
        <v>480</v>
      </c>
      <c r="G157" s="340">
        <v>7000</v>
      </c>
      <c r="H157" s="552">
        <v>3300</v>
      </c>
      <c r="I157" s="552">
        <v>3000</v>
      </c>
      <c r="J157" s="1025">
        <v>0</v>
      </c>
      <c r="K157" s="122">
        <f t="shared" si="14"/>
        <v>0</v>
      </c>
      <c r="L157" s="122">
        <f t="shared" si="13"/>
        <v>0</v>
      </c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</row>
    <row r="158" spans="1:70" s="20" customFormat="1" ht="13.5" customHeight="1">
      <c r="A158" s="277"/>
      <c r="B158" s="257"/>
      <c r="C158" s="1368" t="s">
        <v>630</v>
      </c>
      <c r="D158" s="1368"/>
      <c r="E158" s="1368"/>
      <c r="F158" s="1369"/>
      <c r="G158" s="309">
        <f>SUM(G159:G160)</f>
        <v>12141</v>
      </c>
      <c r="H158" s="309">
        <f>SUM(H159:H160)</f>
        <v>505332</v>
      </c>
      <c r="I158" s="309">
        <f>SUM(I159:I160)</f>
        <v>509306</v>
      </c>
      <c r="J158" s="1040">
        <f>SUM(J159:J160)</f>
        <v>8125</v>
      </c>
      <c r="K158" s="122">
        <f t="shared" si="14"/>
        <v>0.0160785384658007</v>
      </c>
      <c r="L158" s="122">
        <f t="shared" si="13"/>
        <v>0.01595308125174257</v>
      </c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</row>
    <row r="159" spans="1:70" s="20" customFormat="1" ht="13.5" customHeight="1">
      <c r="A159" s="277"/>
      <c r="B159" s="257"/>
      <c r="C159" s="298"/>
      <c r="D159" s="298"/>
      <c r="E159" s="298"/>
      <c r="F159" s="299" t="s">
        <v>631</v>
      </c>
      <c r="G159" s="1020">
        <v>0</v>
      </c>
      <c r="H159" s="552">
        <v>498000</v>
      </c>
      <c r="I159" s="552">
        <v>498000</v>
      </c>
      <c r="J159" s="1025">
        <v>0</v>
      </c>
      <c r="K159" s="122">
        <f aca="true" t="shared" si="15" ref="K159:K167">IF(H159=0,0,J159/H159)</f>
        <v>0</v>
      </c>
      <c r="L159" s="122">
        <f aca="true" t="shared" si="16" ref="L159:L167">IF(I159=0,0,J159/I159)</f>
        <v>0</v>
      </c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</row>
    <row r="160" spans="1:70" s="20" customFormat="1" ht="13.5" customHeight="1">
      <c r="A160" s="277"/>
      <c r="B160" s="257"/>
      <c r="C160" s="298"/>
      <c r="D160" s="298"/>
      <c r="E160" s="298"/>
      <c r="F160" s="299" t="s">
        <v>632</v>
      </c>
      <c r="G160" s="1020">
        <v>12141</v>
      </c>
      <c r="H160" s="552">
        <v>7332</v>
      </c>
      <c r="I160" s="552">
        <v>11306</v>
      </c>
      <c r="J160" s="1025">
        <v>8125</v>
      </c>
      <c r="K160" s="122">
        <f t="shared" si="15"/>
        <v>1.1081560283687943</v>
      </c>
      <c r="L160" s="122">
        <f t="shared" si="16"/>
        <v>0.7186449672740138</v>
      </c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</row>
    <row r="161" spans="1:70" s="20" customFormat="1" ht="13.5" customHeight="1">
      <c r="A161" s="277"/>
      <c r="B161" s="257"/>
      <c r="C161" s="303" t="s">
        <v>774</v>
      </c>
      <c r="D161" s="301"/>
      <c r="E161" s="301"/>
      <c r="F161" s="302"/>
      <c r="G161" s="309">
        <f>SUM(G162:G164)</f>
        <v>0</v>
      </c>
      <c r="H161" s="309">
        <f>SUM(H162:H164)</f>
        <v>1453639</v>
      </c>
      <c r="I161" s="309">
        <f>SUM(I162:I164)</f>
        <v>0</v>
      </c>
      <c r="J161" s="1040">
        <f>SUM(J162:J164)</f>
        <v>2629230</v>
      </c>
      <c r="K161" s="122">
        <f t="shared" si="15"/>
        <v>1.8087227984389522</v>
      </c>
      <c r="L161" s="122">
        <f t="shared" si="16"/>
        <v>0</v>
      </c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</row>
    <row r="162" spans="1:70" s="20" customFormat="1" ht="13.5" customHeight="1">
      <c r="A162" s="277"/>
      <c r="B162" s="257"/>
      <c r="C162" s="310"/>
      <c r="D162" s="301"/>
      <c r="E162" s="301"/>
      <c r="F162" s="299" t="s">
        <v>533</v>
      </c>
      <c r="G162" s="1020">
        <v>0</v>
      </c>
      <c r="H162" s="552">
        <v>628235</v>
      </c>
      <c r="I162" s="552">
        <v>0</v>
      </c>
      <c r="J162" s="1025">
        <v>2123250</v>
      </c>
      <c r="K162" s="122">
        <f t="shared" si="15"/>
        <v>3.3797066384394374</v>
      </c>
      <c r="L162" s="122">
        <f t="shared" si="16"/>
        <v>0</v>
      </c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</row>
    <row r="163" spans="1:70" s="20" customFormat="1" ht="13.5" customHeight="1">
      <c r="A163" s="277"/>
      <c r="B163" s="257"/>
      <c r="C163" s="304"/>
      <c r="D163" s="311"/>
      <c r="E163" s="311"/>
      <c r="F163" s="305" t="s">
        <v>354</v>
      </c>
      <c r="G163" s="1021">
        <v>0</v>
      </c>
      <c r="H163" s="552">
        <v>62000</v>
      </c>
      <c r="I163" s="552">
        <v>0</v>
      </c>
      <c r="J163" s="1025">
        <v>62000</v>
      </c>
      <c r="K163" s="122">
        <f t="shared" si="15"/>
        <v>1</v>
      </c>
      <c r="L163" s="122">
        <f t="shared" si="16"/>
        <v>0</v>
      </c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</row>
    <row r="164" spans="1:70" s="20" customFormat="1" ht="13.5" customHeight="1">
      <c r="A164" s="277"/>
      <c r="B164" s="257"/>
      <c r="C164" s="314"/>
      <c r="D164" s="315"/>
      <c r="E164" s="315"/>
      <c r="F164" s="303" t="s">
        <v>534</v>
      </c>
      <c r="G164" s="1231">
        <v>0</v>
      </c>
      <c r="H164" s="552">
        <v>763404</v>
      </c>
      <c r="I164" s="552">
        <v>0</v>
      </c>
      <c r="J164" s="1025">
        <v>443980</v>
      </c>
      <c r="K164" s="122">
        <f t="shared" si="15"/>
        <v>0.5815793472394696</v>
      </c>
      <c r="L164" s="122">
        <f t="shared" si="16"/>
        <v>0</v>
      </c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</row>
    <row r="165" spans="1:70" s="20" customFormat="1" ht="13.5" customHeight="1">
      <c r="A165" s="277"/>
      <c r="B165" s="257"/>
      <c r="C165" s="1368" t="s">
        <v>531</v>
      </c>
      <c r="D165" s="1368"/>
      <c r="E165" s="1368"/>
      <c r="F165" s="1368"/>
      <c r="G165" s="309">
        <f>SUM(G166:G167)</f>
        <v>98552</v>
      </c>
      <c r="H165" s="562">
        <f>SUM(H166:H167)</f>
        <v>145064</v>
      </c>
      <c r="I165" s="562">
        <f>SUM(I166:I167)</f>
        <v>2295963</v>
      </c>
      <c r="J165" s="1039">
        <f>SUM(J166:J167)</f>
        <v>145064</v>
      </c>
      <c r="K165" s="122">
        <f t="shared" si="15"/>
        <v>1</v>
      </c>
      <c r="L165" s="122">
        <f t="shared" si="16"/>
        <v>0.06318220284908772</v>
      </c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</row>
    <row r="166" spans="1:70" s="20" customFormat="1" ht="13.5" customHeight="1">
      <c r="A166" s="277"/>
      <c r="B166" s="257"/>
      <c r="C166" s="86"/>
      <c r="D166" s="86"/>
      <c r="E166" s="86"/>
      <c r="F166" s="298" t="s">
        <v>771</v>
      </c>
      <c r="G166" s="340">
        <v>98552</v>
      </c>
      <c r="H166" s="552">
        <v>145064</v>
      </c>
      <c r="I166" s="552">
        <v>145064</v>
      </c>
      <c r="J166" s="1025">
        <v>145064</v>
      </c>
      <c r="K166" s="122">
        <f t="shared" si="15"/>
        <v>1</v>
      </c>
      <c r="L166" s="122">
        <f t="shared" si="16"/>
        <v>1</v>
      </c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</row>
    <row r="167" spans="1:70" s="20" customFormat="1" ht="13.5" customHeight="1">
      <c r="A167" s="276"/>
      <c r="B167" s="257"/>
      <c r="C167" s="86"/>
      <c r="D167" s="86"/>
      <c r="E167" s="86"/>
      <c r="F167" s="299" t="s">
        <v>532</v>
      </c>
      <c r="G167" s="1020">
        <v>0</v>
      </c>
      <c r="H167" s="552">
        <v>0</v>
      </c>
      <c r="I167" s="552">
        <v>2150899</v>
      </c>
      <c r="J167" s="1025">
        <v>0</v>
      </c>
      <c r="K167" s="122">
        <f t="shared" si="15"/>
        <v>0</v>
      </c>
      <c r="L167" s="122">
        <f t="shared" si="16"/>
        <v>0</v>
      </c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</row>
    <row r="168" spans="1:70" s="20" customFormat="1" ht="13.5" customHeight="1">
      <c r="A168" s="319" t="s">
        <v>331</v>
      </c>
      <c r="B168" s="320" t="s">
        <v>530</v>
      </c>
      <c r="C168" s="321"/>
      <c r="D168" s="240" t="e">
        <f>SUM(D169,#REF!,#REF!,#REF!,#REF!,#REF!,D186)</f>
        <v>#REF!</v>
      </c>
      <c r="E168" s="240" t="e">
        <f>SUM(E169,#REF!,#REF!,#REF!,#REF!,#REF!,E186)</f>
        <v>#REF!</v>
      </c>
      <c r="F168" s="240"/>
      <c r="G168" s="325">
        <f>SUM(G169,G170,G175)</f>
        <v>16090</v>
      </c>
      <c r="H168" s="325">
        <f>SUM(H169,H170,H175)</f>
        <v>0</v>
      </c>
      <c r="I168" s="325">
        <f>SUM(I169,I170,I175)</f>
        <v>21284</v>
      </c>
      <c r="J168" s="576">
        <f>SUM(J169,J170,J175)</f>
        <v>0</v>
      </c>
      <c r="K168" s="121">
        <f aca="true" t="shared" si="17" ref="K168:K186">IF(H168=0,0,J168/H168)</f>
        <v>0</v>
      </c>
      <c r="L168" s="121">
        <f aca="true" t="shared" si="18" ref="L168:L185">IF(I168=0,0,J168/I168)</f>
        <v>0</v>
      </c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</row>
    <row r="169" spans="1:70" s="20" customFormat="1" ht="13.5" customHeight="1">
      <c r="A169" s="276"/>
      <c r="B169" s="260"/>
      <c r="C169" s="99" t="s">
        <v>679</v>
      </c>
      <c r="D169" s="254">
        <v>211132</v>
      </c>
      <c r="E169" s="255">
        <v>223678</v>
      </c>
      <c r="F169" s="253"/>
      <c r="G169" s="253">
        <v>12241</v>
      </c>
      <c r="H169" s="552">
        <v>0</v>
      </c>
      <c r="I169" s="552">
        <v>12349</v>
      </c>
      <c r="J169" s="1025">
        <v>0</v>
      </c>
      <c r="K169" s="122">
        <f t="shared" si="17"/>
        <v>0</v>
      </c>
      <c r="L169" s="122">
        <f t="shared" si="18"/>
        <v>0</v>
      </c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</row>
    <row r="170" spans="1:70" s="20" customFormat="1" ht="13.5" customHeight="1">
      <c r="A170" s="297"/>
      <c r="B170" s="257"/>
      <c r="C170" s="99" t="s">
        <v>680</v>
      </c>
      <c r="D170" s="249">
        <f>SUM(D175:D175)</f>
        <v>0</v>
      </c>
      <c r="E170" s="250">
        <f>SUM(E175:E175)</f>
        <v>0</v>
      </c>
      <c r="F170" s="251"/>
      <c r="G170" s="296">
        <f>SUM(G171:G174)</f>
        <v>3839</v>
      </c>
      <c r="H170" s="296">
        <f>SUM(H171:H174)</f>
        <v>0</v>
      </c>
      <c r="I170" s="296">
        <f>SUM(I171:I174)</f>
        <v>3785</v>
      </c>
      <c r="J170" s="1037">
        <f>SUM(J171:J174)</f>
        <v>0</v>
      </c>
      <c r="K170" s="122">
        <f t="shared" si="17"/>
        <v>0</v>
      </c>
      <c r="L170" s="122">
        <f t="shared" si="18"/>
        <v>0</v>
      </c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</row>
    <row r="171" spans="1:70" s="20" customFormat="1" ht="13.5" customHeight="1">
      <c r="A171" s="297"/>
      <c r="B171" s="257"/>
      <c r="C171" s="99"/>
      <c r="D171" s="249"/>
      <c r="E171" s="250"/>
      <c r="F171" s="455" t="s">
        <v>316</v>
      </c>
      <c r="G171" s="1022">
        <v>3546</v>
      </c>
      <c r="H171" s="296">
        <v>0</v>
      </c>
      <c r="I171" s="296">
        <v>3548</v>
      </c>
      <c r="J171" s="1037">
        <v>0</v>
      </c>
      <c r="K171" s="122">
        <f t="shared" si="17"/>
        <v>0</v>
      </c>
      <c r="L171" s="122">
        <f t="shared" si="18"/>
        <v>0</v>
      </c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</row>
    <row r="172" spans="1:70" s="20" customFormat="1" ht="13.5" customHeight="1">
      <c r="A172" s="297"/>
      <c r="B172" s="257"/>
      <c r="C172" s="99"/>
      <c r="D172" s="249"/>
      <c r="E172" s="250"/>
      <c r="F172" s="455" t="s">
        <v>198</v>
      </c>
      <c r="G172" s="1022">
        <v>274</v>
      </c>
      <c r="H172" s="296">
        <v>0</v>
      </c>
      <c r="I172" s="296">
        <v>230</v>
      </c>
      <c r="J172" s="1037">
        <v>0</v>
      </c>
      <c r="K172" s="122">
        <f t="shared" si="17"/>
        <v>0</v>
      </c>
      <c r="L172" s="122">
        <f t="shared" si="18"/>
        <v>0</v>
      </c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</row>
    <row r="173" spans="1:70" s="20" customFormat="1" ht="13.5" customHeight="1">
      <c r="A173" s="297"/>
      <c r="B173" s="257"/>
      <c r="C173" s="99"/>
      <c r="D173" s="249"/>
      <c r="E173" s="250"/>
      <c r="F173" s="455" t="s">
        <v>199</v>
      </c>
      <c r="G173" s="1022">
        <v>19</v>
      </c>
      <c r="H173" s="296">
        <v>0</v>
      </c>
      <c r="I173" s="296">
        <v>7</v>
      </c>
      <c r="J173" s="1037">
        <v>0</v>
      </c>
      <c r="K173" s="122">
        <f t="shared" si="17"/>
        <v>0</v>
      </c>
      <c r="L173" s="122">
        <f t="shared" si="18"/>
        <v>0</v>
      </c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</row>
    <row r="174" spans="1:70" s="20" customFormat="1" ht="13.5" customHeight="1">
      <c r="A174" s="297"/>
      <c r="B174" s="257"/>
      <c r="C174" s="99"/>
      <c r="D174" s="249"/>
      <c r="E174" s="250"/>
      <c r="F174" s="455" t="s">
        <v>315</v>
      </c>
      <c r="G174" s="1022">
        <v>0</v>
      </c>
      <c r="H174" s="296">
        <v>0</v>
      </c>
      <c r="I174" s="296">
        <v>0</v>
      </c>
      <c r="J174" s="1037">
        <v>0</v>
      </c>
      <c r="K174" s="122">
        <f t="shared" si="17"/>
        <v>0</v>
      </c>
      <c r="L174" s="122">
        <f t="shared" si="18"/>
        <v>0</v>
      </c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</row>
    <row r="175" spans="1:70" s="20" customFormat="1" ht="13.5" customHeight="1">
      <c r="A175" s="297"/>
      <c r="B175" s="257"/>
      <c r="C175" s="99" t="s">
        <v>681</v>
      </c>
      <c r="D175" s="254"/>
      <c r="E175" s="255"/>
      <c r="F175" s="253"/>
      <c r="G175" s="253">
        <v>10</v>
      </c>
      <c r="H175" s="77">
        <v>0</v>
      </c>
      <c r="I175" s="77">
        <v>5150</v>
      </c>
      <c r="J175" s="1025">
        <v>0</v>
      </c>
      <c r="K175" s="122">
        <f t="shared" si="17"/>
        <v>0</v>
      </c>
      <c r="L175" s="122">
        <f t="shared" si="18"/>
        <v>0</v>
      </c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</row>
    <row r="176" spans="1:70" s="20" customFormat="1" ht="13.5" customHeight="1">
      <c r="A176" s="644" t="s">
        <v>332</v>
      </c>
      <c r="B176" s="320" t="s">
        <v>511</v>
      </c>
      <c r="C176" s="321"/>
      <c r="D176" s="240" t="e">
        <f>SUM(D177,#REF!,#REF!,#REF!,#REF!,#REF!,D194)</f>
        <v>#REF!</v>
      </c>
      <c r="E176" s="240" t="e">
        <f>SUM(E177,#REF!,#REF!,#REF!,#REF!,#REF!,E194)</f>
        <v>#REF!</v>
      </c>
      <c r="F176" s="240"/>
      <c r="G176" s="325">
        <f>SUM(G177,G178,G183)</f>
        <v>0</v>
      </c>
      <c r="H176" s="325">
        <f>SUM(H177,H178,H183)</f>
        <v>0</v>
      </c>
      <c r="I176" s="325">
        <f>SUM(I177,I178,I183)</f>
        <v>22865</v>
      </c>
      <c r="J176" s="576">
        <f>SUM(J177,J178,J183)</f>
        <v>0</v>
      </c>
      <c r="K176" s="121">
        <f t="shared" si="17"/>
        <v>0</v>
      </c>
      <c r="L176" s="121">
        <f t="shared" si="18"/>
        <v>0</v>
      </c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</row>
    <row r="177" spans="1:70" s="20" customFormat="1" ht="13.5" customHeight="1">
      <c r="A177" s="297"/>
      <c r="B177" s="260"/>
      <c r="C177" s="99" t="s">
        <v>679</v>
      </c>
      <c r="D177" s="254">
        <v>211132</v>
      </c>
      <c r="E177" s="255">
        <v>223678</v>
      </c>
      <c r="F177" s="253"/>
      <c r="G177" s="253">
        <v>0</v>
      </c>
      <c r="H177" s="552">
        <v>0</v>
      </c>
      <c r="I177" s="552">
        <v>12437</v>
      </c>
      <c r="J177" s="1025">
        <v>0</v>
      </c>
      <c r="K177" s="122">
        <f t="shared" si="17"/>
        <v>0</v>
      </c>
      <c r="L177" s="122">
        <f t="shared" si="18"/>
        <v>0</v>
      </c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</row>
    <row r="178" spans="1:70" s="20" customFormat="1" ht="13.5" customHeight="1">
      <c r="A178" s="297"/>
      <c r="B178" s="257"/>
      <c r="C178" s="99" t="s">
        <v>680</v>
      </c>
      <c r="D178" s="249">
        <f>SUM(D183:D183)</f>
        <v>0</v>
      </c>
      <c r="E178" s="250">
        <f>SUM(E183:E183)</f>
        <v>0</v>
      </c>
      <c r="F178" s="251"/>
      <c r="G178" s="296">
        <f>SUM(G179:G182)</f>
        <v>0</v>
      </c>
      <c r="H178" s="296">
        <f>SUM(H179:H182)</f>
        <v>0</v>
      </c>
      <c r="I178" s="296">
        <f>SUM(I179:I182)</f>
        <v>3840</v>
      </c>
      <c r="J178" s="1037">
        <f>SUM(J179:J182)</f>
        <v>0</v>
      </c>
      <c r="K178" s="122">
        <f t="shared" si="17"/>
        <v>0</v>
      </c>
      <c r="L178" s="122">
        <f t="shared" si="18"/>
        <v>0</v>
      </c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</row>
    <row r="179" spans="1:70" s="20" customFormat="1" ht="13.5" customHeight="1">
      <c r="A179" s="297"/>
      <c r="B179" s="257"/>
      <c r="C179" s="99"/>
      <c r="D179" s="249"/>
      <c r="E179" s="250"/>
      <c r="F179" s="455" t="s">
        <v>316</v>
      </c>
      <c r="G179" s="1022">
        <v>0</v>
      </c>
      <c r="H179" s="296">
        <v>0</v>
      </c>
      <c r="I179" s="296">
        <v>3586</v>
      </c>
      <c r="J179" s="1037">
        <v>0</v>
      </c>
      <c r="K179" s="122">
        <f t="shared" si="17"/>
        <v>0</v>
      </c>
      <c r="L179" s="122">
        <f t="shared" si="18"/>
        <v>0</v>
      </c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</row>
    <row r="180" spans="1:70" s="20" customFormat="1" ht="13.5" customHeight="1">
      <c r="A180" s="297"/>
      <c r="B180" s="257"/>
      <c r="C180" s="99"/>
      <c r="D180" s="249"/>
      <c r="E180" s="250"/>
      <c r="F180" s="455" t="s">
        <v>198</v>
      </c>
      <c r="G180" s="1022">
        <v>0</v>
      </c>
      <c r="H180" s="296">
        <v>0</v>
      </c>
      <c r="I180" s="296">
        <v>244</v>
      </c>
      <c r="J180" s="1037">
        <v>0</v>
      </c>
      <c r="K180" s="122">
        <f t="shared" si="17"/>
        <v>0</v>
      </c>
      <c r="L180" s="122">
        <f t="shared" si="18"/>
        <v>0</v>
      </c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</row>
    <row r="181" spans="1:70" s="20" customFormat="1" ht="13.5" customHeight="1">
      <c r="A181" s="297"/>
      <c r="B181" s="257"/>
      <c r="C181" s="99"/>
      <c r="D181" s="249"/>
      <c r="E181" s="250"/>
      <c r="F181" s="455" t="s">
        <v>199</v>
      </c>
      <c r="G181" s="1022">
        <v>0</v>
      </c>
      <c r="H181" s="296">
        <v>0</v>
      </c>
      <c r="I181" s="296">
        <v>10</v>
      </c>
      <c r="J181" s="1037">
        <v>0</v>
      </c>
      <c r="K181" s="122">
        <f t="shared" si="17"/>
        <v>0</v>
      </c>
      <c r="L181" s="122">
        <f t="shared" si="18"/>
        <v>0</v>
      </c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</row>
    <row r="182" spans="1:70" s="20" customFormat="1" ht="13.5" customHeight="1">
      <c r="A182" s="297"/>
      <c r="B182" s="257"/>
      <c r="C182" s="99"/>
      <c r="D182" s="249"/>
      <c r="E182" s="250"/>
      <c r="F182" s="455" t="s">
        <v>315</v>
      </c>
      <c r="G182" s="1022">
        <v>0</v>
      </c>
      <c r="H182" s="296">
        <v>0</v>
      </c>
      <c r="I182" s="296">
        <v>0</v>
      </c>
      <c r="J182" s="1037">
        <v>0</v>
      </c>
      <c r="K182" s="122">
        <f t="shared" si="17"/>
        <v>0</v>
      </c>
      <c r="L182" s="122">
        <f t="shared" si="18"/>
        <v>0</v>
      </c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</row>
    <row r="183" spans="1:70" s="20" customFormat="1" ht="13.5" customHeight="1">
      <c r="A183" s="297"/>
      <c r="B183" s="257"/>
      <c r="C183" s="99" t="s">
        <v>681</v>
      </c>
      <c r="D183" s="254"/>
      <c r="E183" s="255"/>
      <c r="F183" s="253"/>
      <c r="G183" s="253">
        <v>0</v>
      </c>
      <c r="H183" s="77">
        <v>0</v>
      </c>
      <c r="I183" s="77">
        <v>6588</v>
      </c>
      <c r="J183" s="1025">
        <v>0</v>
      </c>
      <c r="K183" s="122">
        <f t="shared" si="17"/>
        <v>0</v>
      </c>
      <c r="L183" s="122">
        <f t="shared" si="18"/>
        <v>0</v>
      </c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</row>
    <row r="184" spans="1:70" s="20" customFormat="1" ht="13.5" customHeight="1">
      <c r="A184" s="275" t="s">
        <v>334</v>
      </c>
      <c r="B184" s="96" t="s">
        <v>515</v>
      </c>
      <c r="C184" s="97"/>
      <c r="D184" s="89" t="e">
        <f>SUM(D185,D187,#REF!,#REF!,D197,D200,D201)</f>
        <v>#REF!</v>
      </c>
      <c r="E184" s="89" t="e">
        <f>SUM(E185,E187,#REF!,#REF!,E197,E200,E201)</f>
        <v>#REF!</v>
      </c>
      <c r="F184" s="89"/>
      <c r="G184" s="361">
        <f>SUM(G185)</f>
        <v>7369746</v>
      </c>
      <c r="H184" s="361">
        <f>SUM(H185)</f>
        <v>7528303</v>
      </c>
      <c r="I184" s="361">
        <f>SUM(I185)</f>
        <v>7971952</v>
      </c>
      <c r="J184" s="577">
        <f>SUM(J185)</f>
        <v>7439104</v>
      </c>
      <c r="K184" s="121">
        <f t="shared" si="17"/>
        <v>0.9881515130302274</v>
      </c>
      <c r="L184" s="121">
        <f t="shared" si="18"/>
        <v>0.9331596577601069</v>
      </c>
      <c r="M184" s="175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</row>
    <row r="185" spans="1:70" s="20" customFormat="1" ht="13.5" customHeight="1">
      <c r="A185" s="98"/>
      <c r="B185" s="257"/>
      <c r="C185" s="303" t="s">
        <v>775</v>
      </c>
      <c r="D185" s="254"/>
      <c r="E185" s="255"/>
      <c r="F185" s="253"/>
      <c r="G185" s="342">
        <f>SUM('3.számú melléklet'!C49)</f>
        <v>7369746</v>
      </c>
      <c r="H185" s="342">
        <f>SUM('3.számú melléklet'!D49)</f>
        <v>7528303</v>
      </c>
      <c r="I185" s="342">
        <f>SUM('3.számú melléklet'!E49)</f>
        <v>7971952</v>
      </c>
      <c r="J185" s="1117">
        <f>SUM('3.számú melléklet'!F49)</f>
        <v>7439104</v>
      </c>
      <c r="K185" s="122">
        <f t="shared" si="17"/>
        <v>0.9881515130302274</v>
      </c>
      <c r="L185" s="122">
        <f t="shared" si="18"/>
        <v>0.9331596577601069</v>
      </c>
      <c r="M185" s="343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</row>
    <row r="186" spans="1:70" s="23" customFormat="1" ht="13.5" customHeight="1">
      <c r="A186" s="274" t="s">
        <v>335</v>
      </c>
      <c r="B186" s="96" t="s">
        <v>458</v>
      </c>
      <c r="C186" s="266"/>
      <c r="D186" s="267" t="e">
        <f>SUM(D187,D188,#REF!,D196,D197,D198,D200)</f>
        <v>#REF!</v>
      </c>
      <c r="E186" s="267" t="e">
        <f>SUM(E187,E188,#REF!,E196,E197,E198,E200)</f>
        <v>#REF!</v>
      </c>
      <c r="F186" s="262"/>
      <c r="G186" s="345">
        <f>SUM(G187,G189,G196,G197,G200,G205,G206,G207:G213,G214,G218,G224,G227,G231,G234)</f>
        <v>13762347</v>
      </c>
      <c r="H186" s="345">
        <f>SUM(H187,H189,H196,H197,H200,H205,H206,H207:H213,H214,H218,H224,H227,H231,H234)</f>
        <v>15080828</v>
      </c>
      <c r="I186" s="345">
        <f>SUM(I187,I189,I196,I197,I200,I205,I206,I207:I213,I214,I218,I224,I227,I231,I234)</f>
        <v>21061451</v>
      </c>
      <c r="J186" s="345">
        <f>SUM(J187,J189,J196,J197,J200,J205,J206,J207:J213,J214,J218,J224,J227,J231,J234)</f>
        <v>15428808</v>
      </c>
      <c r="K186" s="121">
        <f t="shared" si="17"/>
        <v>1.0230743298710123</v>
      </c>
      <c r="L186" s="121">
        <f aca="true" t="shared" si="19" ref="L186:L222">IF(I186=0,0,J186/I186)</f>
        <v>0.732561493507736</v>
      </c>
      <c r="M186" s="344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</row>
    <row r="187" spans="1:12" ht="13.5" customHeight="1">
      <c r="A187" s="277"/>
      <c r="B187" s="246"/>
      <c r="C187" s="99" t="s">
        <v>679</v>
      </c>
      <c r="D187" s="249" t="e">
        <f>SUM(D126,#REF!,#REF!,D112,#REF!,#REF!,D44,D25,#REF!,#REF!)</f>
        <v>#REF!</v>
      </c>
      <c r="E187" s="249" t="e">
        <f>SUM(E25,E44,#REF!,E112,#REF!,#REF!,E126)</f>
        <v>#REF!</v>
      </c>
      <c r="F187" s="263"/>
      <c r="G187" s="93">
        <f>SUM(G25,G44,G112,G126,G99,G169,G177)</f>
        <v>860539</v>
      </c>
      <c r="H187" s="93">
        <f>SUM(H25,H44,H112,H126,H99,H169,H177)</f>
        <v>918268</v>
      </c>
      <c r="I187" s="93">
        <f>SUM(I25,I44,I112,I126,I99,I169,I177)</f>
        <v>989116</v>
      </c>
      <c r="J187" s="1041">
        <f>SUM(J25,J44,J112,J126,J99,J169,J177)</f>
        <v>872096</v>
      </c>
      <c r="K187" s="122">
        <f aca="true" t="shared" si="20" ref="K187:K222">IF(H187=0,0,J187/H187)</f>
        <v>0.9497183828686179</v>
      </c>
      <c r="L187" s="122">
        <f t="shared" si="19"/>
        <v>0.881692339422272</v>
      </c>
    </row>
    <row r="188" spans="1:12" ht="13.5" customHeight="1">
      <c r="A188" s="277"/>
      <c r="B188" s="235"/>
      <c r="C188" s="245"/>
      <c r="D188" s="249" t="e">
        <f>SUM(D189:D190)</f>
        <v>#REF!</v>
      </c>
      <c r="E188" s="249" t="e">
        <f>SUM(E189:E190)</f>
        <v>#REF!</v>
      </c>
      <c r="F188" s="101" t="s">
        <v>473</v>
      </c>
      <c r="G188" s="127">
        <f>SUM(G127)</f>
        <v>92991</v>
      </c>
      <c r="H188" s="127">
        <f>SUM(H127)</f>
        <v>93677</v>
      </c>
      <c r="I188" s="95">
        <f>SUM(I127)</f>
        <v>76714</v>
      </c>
      <c r="J188" s="1029">
        <f>SUM(J127)</f>
        <v>70018</v>
      </c>
      <c r="K188" s="122">
        <f t="shared" si="20"/>
        <v>0.7474406738046693</v>
      </c>
      <c r="L188" s="122">
        <f t="shared" si="19"/>
        <v>0.9127147587141852</v>
      </c>
    </row>
    <row r="189" spans="1:12" ht="13.5" customHeight="1">
      <c r="A189" s="277"/>
      <c r="B189" s="246"/>
      <c r="C189" s="99" t="s">
        <v>680</v>
      </c>
      <c r="D189" s="249" t="e">
        <f>SUM(#REF!,#REF!,#REF!,#REF!,#REF!,#REF!,D66,#REF!,#REF!,#REF!,#REF!,#REF!)</f>
        <v>#REF!</v>
      </c>
      <c r="E189" s="249" t="e">
        <f>SUM(#REF!,#REF!,#REF!,E66,#REF!,#REF!,#REF!,#REF!,#REF!)</f>
        <v>#REF!</v>
      </c>
      <c r="F189" s="263"/>
      <c r="G189" s="93">
        <f>SUM(G191:G195)</f>
        <v>279092</v>
      </c>
      <c r="H189" s="93">
        <f>SUM(H191:H195)</f>
        <v>292269</v>
      </c>
      <c r="I189" s="93">
        <f>SUM(I191:I195)</f>
        <v>314011</v>
      </c>
      <c r="J189" s="1041">
        <f>SUM(J191:J195)</f>
        <v>282144</v>
      </c>
      <c r="K189" s="122">
        <f t="shared" si="20"/>
        <v>0.9653572565000051</v>
      </c>
      <c r="L189" s="122">
        <f t="shared" si="19"/>
        <v>0.8985162940151779</v>
      </c>
    </row>
    <row r="190" spans="1:12" ht="13.5" customHeight="1">
      <c r="A190" s="277"/>
      <c r="B190" s="235"/>
      <c r="C190" s="245"/>
      <c r="D190" s="249" t="e">
        <f>SUM(#REF!,#REF!,#REF!,#REF!,#REF!,#REF!,#REF!,#REF!)</f>
        <v>#REF!</v>
      </c>
      <c r="E190" s="249" t="e">
        <f>SUM(#REF!,#REF!,#REF!,#REF!,#REF!,#REF!,#REF!)</f>
        <v>#REF!</v>
      </c>
      <c r="F190" s="101" t="s">
        <v>473</v>
      </c>
      <c r="G190" s="127">
        <f>SUM(G129)</f>
        <v>26990</v>
      </c>
      <c r="H190" s="127">
        <f>SUM(H129)</f>
        <v>26977</v>
      </c>
      <c r="I190" s="95">
        <f>SUM(I129)</f>
        <v>22004</v>
      </c>
      <c r="J190" s="1029">
        <f>SUM(J129)</f>
        <v>20890</v>
      </c>
      <c r="K190" s="122">
        <f t="shared" si="20"/>
        <v>0.7743633465544724</v>
      </c>
      <c r="L190" s="122">
        <f t="shared" si="19"/>
        <v>0.9493728413015815</v>
      </c>
    </row>
    <row r="191" spans="1:12" ht="13.5" customHeight="1">
      <c r="A191" s="277"/>
      <c r="B191" s="235"/>
      <c r="C191" s="245"/>
      <c r="D191" s="249"/>
      <c r="E191" s="249"/>
      <c r="F191" s="455" t="s">
        <v>316</v>
      </c>
      <c r="G191" s="93">
        <f aca="true" t="shared" si="21" ref="G191:J194">SUM(G27,G46,G101,G114,G130,G171,G179)</f>
        <v>231886</v>
      </c>
      <c r="H191" s="93">
        <f t="shared" si="21"/>
        <v>247565</v>
      </c>
      <c r="I191" s="93">
        <f t="shared" si="21"/>
        <v>264022</v>
      </c>
      <c r="J191" s="1041">
        <f t="shared" si="21"/>
        <v>233753</v>
      </c>
      <c r="K191" s="122">
        <f>IF(H191=0,0,J191/H191)</f>
        <v>0.9442085916829923</v>
      </c>
      <c r="L191" s="122">
        <f>IF(I191=0,0,J191/I191)</f>
        <v>0.8853542507821318</v>
      </c>
    </row>
    <row r="192" spans="1:12" ht="13.5" customHeight="1">
      <c r="A192" s="277"/>
      <c r="B192" s="235"/>
      <c r="C192" s="245"/>
      <c r="D192" s="249"/>
      <c r="E192" s="249"/>
      <c r="F192" s="455" t="s">
        <v>198</v>
      </c>
      <c r="G192" s="93">
        <f t="shared" si="21"/>
        <v>20754</v>
      </c>
      <c r="H192" s="93">
        <f t="shared" si="21"/>
        <v>21886</v>
      </c>
      <c r="I192" s="93">
        <f t="shared" si="21"/>
        <v>24261</v>
      </c>
      <c r="J192" s="1041">
        <f t="shared" si="21"/>
        <v>21416</v>
      </c>
      <c r="K192" s="122">
        <f>IF(H192=0,0,J192/H192)</f>
        <v>0.9785250845289226</v>
      </c>
      <c r="L192" s="122">
        <f>IF(I192=0,0,J192/I192)</f>
        <v>0.8827336053748815</v>
      </c>
    </row>
    <row r="193" spans="1:12" ht="13.5" customHeight="1">
      <c r="A193" s="277"/>
      <c r="B193" s="235"/>
      <c r="C193" s="245"/>
      <c r="D193" s="249"/>
      <c r="E193" s="249"/>
      <c r="F193" s="455" t="s">
        <v>199</v>
      </c>
      <c r="G193" s="93">
        <f t="shared" si="21"/>
        <v>10529</v>
      </c>
      <c r="H193" s="93">
        <f t="shared" si="21"/>
        <v>5573</v>
      </c>
      <c r="I193" s="93">
        <f t="shared" si="21"/>
        <v>6259</v>
      </c>
      <c r="J193" s="1041">
        <f t="shared" si="21"/>
        <v>6155</v>
      </c>
      <c r="K193" s="122">
        <f>IF(H193=0,0,J193/H193)</f>
        <v>1.1044320832585681</v>
      </c>
      <c r="L193" s="122">
        <f>IF(I193=0,0,J193/I193)</f>
        <v>0.9833839271449113</v>
      </c>
    </row>
    <row r="194" spans="1:12" ht="13.5" customHeight="1">
      <c r="A194" s="277"/>
      <c r="B194" s="235"/>
      <c r="C194" s="245"/>
      <c r="D194" s="249"/>
      <c r="E194" s="249"/>
      <c r="F194" s="455" t="s">
        <v>315</v>
      </c>
      <c r="G194" s="93">
        <f t="shared" si="21"/>
        <v>1757</v>
      </c>
      <c r="H194" s="93">
        <f t="shared" si="21"/>
        <v>2245</v>
      </c>
      <c r="I194" s="93">
        <f t="shared" si="21"/>
        <v>2690</v>
      </c>
      <c r="J194" s="1041">
        <f t="shared" si="21"/>
        <v>2820</v>
      </c>
      <c r="K194" s="122">
        <f>IF(H194=0,0,J194/H194)</f>
        <v>1.2561247216035634</v>
      </c>
      <c r="L194" s="122">
        <f>IF(I194=0,0,J194/I194)</f>
        <v>1.0483271375464684</v>
      </c>
    </row>
    <row r="195" spans="1:12" ht="13.5" customHeight="1">
      <c r="A195" s="277"/>
      <c r="B195" s="235"/>
      <c r="C195" s="245"/>
      <c r="D195" s="249"/>
      <c r="E195" s="249"/>
      <c r="F195" s="573" t="s">
        <v>685</v>
      </c>
      <c r="G195" s="93">
        <f>SUM(G66,G69)</f>
        <v>14166</v>
      </c>
      <c r="H195" s="93">
        <f>SUM(H66,H69)</f>
        <v>15000</v>
      </c>
      <c r="I195" s="93">
        <f>SUM(I66,I69)</f>
        <v>16779</v>
      </c>
      <c r="J195" s="1041">
        <f>SUM(J66,J69)</f>
        <v>18000</v>
      </c>
      <c r="K195" s="122">
        <f>IF(H195=0,0,J195/H195)</f>
        <v>1.2</v>
      </c>
      <c r="L195" s="122">
        <f>IF(I195=0,0,J195/I195)</f>
        <v>1.072769533345253</v>
      </c>
    </row>
    <row r="196" spans="1:12" ht="13.5" customHeight="1">
      <c r="A196" s="277"/>
      <c r="B196" s="246"/>
      <c r="C196" s="99" t="s">
        <v>681</v>
      </c>
      <c r="D196" s="249" t="e">
        <f>SUM(#REF!,#REF!,D119,#REF!,D36,#REF!,#REF!)</f>
        <v>#REF!</v>
      </c>
      <c r="E196" s="249" t="e">
        <f>SUM(#REF!)</f>
        <v>#REF!</v>
      </c>
      <c r="F196" s="263"/>
      <c r="G196" s="93">
        <f>SUM(G9,G15,G22,G31,G34,G39,G50,G53,G60,G87,G106,G118,G134,G175,G183)</f>
        <v>2258014</v>
      </c>
      <c r="H196" s="93">
        <f>SUM(H9,H15,H22,H31,H34,H39,H50,H53,H60,H87,H106,H118,H134,H175,H183)</f>
        <v>2253266</v>
      </c>
      <c r="I196" s="93">
        <f>SUM(I9,I15,I22,I31,I34,I39,I50,I53,I60,I87,I106,I118,I134,I175,I183)</f>
        <v>4505474</v>
      </c>
      <c r="J196" s="1041">
        <f>SUM(J9,J15,J22,J31,J34,J39,J50,J53,J60,J87,J106,J118,J134,J175,J183)</f>
        <v>2520746</v>
      </c>
      <c r="K196" s="122">
        <f t="shared" si="20"/>
        <v>1.1187076891942629</v>
      </c>
      <c r="L196" s="122">
        <f t="shared" si="19"/>
        <v>0.5594851951204246</v>
      </c>
    </row>
    <row r="197" spans="1:12" ht="13.5" customHeight="1">
      <c r="A197" s="277"/>
      <c r="B197" s="246"/>
      <c r="C197" s="99" t="s">
        <v>401</v>
      </c>
      <c r="D197" s="249" t="e">
        <f>D136+#REF!</f>
        <v>#REF!</v>
      </c>
      <c r="E197" s="249" t="e">
        <f>E136+#REF!+E36+#REF!+E119+#REF!</f>
        <v>#REF!</v>
      </c>
      <c r="F197" s="263"/>
      <c r="G197" s="263">
        <f>SUM(G119,G135,G107)</f>
        <v>47877</v>
      </c>
      <c r="H197" s="263">
        <f>SUM(H119,H135,H107)</f>
        <v>58500</v>
      </c>
      <c r="I197" s="263">
        <f>SUM(I119,I135,I107)</f>
        <v>467215</v>
      </c>
      <c r="J197" s="1042">
        <f>SUM(J119,J135,J107)</f>
        <v>106920</v>
      </c>
      <c r="K197" s="122">
        <f t="shared" si="20"/>
        <v>1.8276923076923077</v>
      </c>
      <c r="L197" s="122">
        <f t="shared" si="19"/>
        <v>0.22884539237824128</v>
      </c>
    </row>
    <row r="198" spans="1:12" ht="13.5" customHeight="1">
      <c r="A198" s="591"/>
      <c r="B198" s="592"/>
      <c r="C198" s="608"/>
      <c r="D198" s="609" t="e">
        <f>D61+#REF!+D67+#REF!+D83+D88+#REF!+D139+#REF!+D85</f>
        <v>#REF!</v>
      </c>
      <c r="E198" s="609" t="e">
        <f>E61+#REF!+E67+#REF!+E83+E88+#REF!+E139+#REF!+E85</f>
        <v>#REF!</v>
      </c>
      <c r="F198" s="610" t="s">
        <v>180</v>
      </c>
      <c r="G198" s="611">
        <f>SUM(G119,G136,G107)</f>
        <v>47877</v>
      </c>
      <c r="H198" s="611">
        <f>SUM(H119,H136,H107)</f>
        <v>58500</v>
      </c>
      <c r="I198" s="611">
        <f>SUM(I119,I136,I107)</f>
        <v>467215</v>
      </c>
      <c r="J198" s="1043">
        <f>SUM(J119,J136,J107)</f>
        <v>106920</v>
      </c>
      <c r="K198" s="362">
        <f t="shared" si="20"/>
        <v>1.8276923076923077</v>
      </c>
      <c r="L198" s="362">
        <f t="shared" si="19"/>
        <v>0.22884539237824128</v>
      </c>
    </row>
    <row r="199" spans="1:12" ht="13.5" customHeight="1">
      <c r="A199" s="595"/>
      <c r="B199" s="596"/>
      <c r="C199" s="612"/>
      <c r="D199" s="613"/>
      <c r="E199" s="613"/>
      <c r="F199" s="602" t="s">
        <v>447</v>
      </c>
      <c r="G199" s="614">
        <f>SUM(G137)</f>
        <v>0</v>
      </c>
      <c r="H199" s="614">
        <f>SUM(H137)</f>
        <v>0</v>
      </c>
      <c r="I199" s="614">
        <f>SUM(I137)</f>
        <v>402821</v>
      </c>
      <c r="J199" s="1044">
        <f>SUM(J137)</f>
        <v>0</v>
      </c>
      <c r="K199" s="601">
        <f>IF(H199=0,0,J199/H199)</f>
        <v>0</v>
      </c>
      <c r="L199" s="601">
        <f>IF(I199=0,0,J199/I199)</f>
        <v>0</v>
      </c>
    </row>
    <row r="200" spans="1:12" ht="13.5" customHeight="1">
      <c r="A200" s="277"/>
      <c r="B200" s="246"/>
      <c r="C200" s="102" t="s">
        <v>770</v>
      </c>
      <c r="D200" s="249" t="e">
        <f>SUM(D201:D233)</f>
        <v>#REF!</v>
      </c>
      <c r="E200" s="249" t="e">
        <f>SUM(E201:E233)</f>
        <v>#REF!</v>
      </c>
      <c r="F200" s="263"/>
      <c r="G200" s="125">
        <f>SUM(G201:G204)</f>
        <v>301991</v>
      </c>
      <c r="H200" s="125">
        <f>SUM(H201:H204)</f>
        <v>372119</v>
      </c>
      <c r="I200" s="125">
        <f>SUM(I201:I204)</f>
        <v>376300</v>
      </c>
      <c r="J200" s="1041">
        <f>SUM(J201:J204)</f>
        <v>347380</v>
      </c>
      <c r="K200" s="122">
        <f t="shared" si="20"/>
        <v>0.9335185787342222</v>
      </c>
      <c r="L200" s="122">
        <f t="shared" si="19"/>
        <v>0.9231464257241563</v>
      </c>
    </row>
    <row r="201" spans="1:12" ht="13.5" customHeight="1">
      <c r="A201" s="277"/>
      <c r="B201" s="257"/>
      <c r="C201" s="245"/>
      <c r="D201" s="249" t="e">
        <f>SUM(D141,#REF!,D123,#REF!,#REF!,#REF!,D32)</f>
        <v>#REF!</v>
      </c>
      <c r="E201" s="249" t="e">
        <f>SUM(E141,E32,#REF!,#REF!)</f>
        <v>#REF!</v>
      </c>
      <c r="F201" s="100" t="s">
        <v>178</v>
      </c>
      <c r="G201" s="93">
        <f>SUM(G121,G139,G109)</f>
        <v>138697</v>
      </c>
      <c r="H201" s="93">
        <f>SUM(H121,H139,H109)</f>
        <v>124670</v>
      </c>
      <c r="I201" s="93">
        <f>SUM(I121,I139,I109)</f>
        <v>145969</v>
      </c>
      <c r="J201" s="1041">
        <f>SUM(J121,J139,J109)</f>
        <v>72285</v>
      </c>
      <c r="K201" s="122">
        <f t="shared" si="20"/>
        <v>0.5798107002486564</v>
      </c>
      <c r="L201" s="122">
        <f t="shared" si="19"/>
        <v>0.4952078866060602</v>
      </c>
    </row>
    <row r="202" spans="1:12" ht="13.5" customHeight="1">
      <c r="A202" s="277"/>
      <c r="B202" s="257"/>
      <c r="C202" s="245"/>
      <c r="D202" s="249" t="e">
        <f>#REF!+D143</f>
        <v>#REF!</v>
      </c>
      <c r="E202" s="249" t="e">
        <f>SUM(E143,#REF!)</f>
        <v>#REF!</v>
      </c>
      <c r="F202" s="100" t="s">
        <v>399</v>
      </c>
      <c r="G202" s="263">
        <f>SUM(G140,G10,G110,G23,G35)</f>
        <v>163044</v>
      </c>
      <c r="H202" s="263">
        <f>SUM(H140,H10,H110,H23,H35)</f>
        <v>247354</v>
      </c>
      <c r="I202" s="263">
        <f>SUM(I140,I10,I110,I23,I35)</f>
        <v>230231</v>
      </c>
      <c r="J202" s="1109">
        <f>SUM(J140,J10,J110,J23,J35)</f>
        <v>275095</v>
      </c>
      <c r="K202" s="122">
        <f t="shared" si="20"/>
        <v>1.1121510062501516</v>
      </c>
      <c r="L202" s="122">
        <f t="shared" si="19"/>
        <v>1.1948651571682354</v>
      </c>
    </row>
    <row r="203" spans="1:12" ht="13.5" customHeight="1">
      <c r="A203" s="277"/>
      <c r="B203" s="98"/>
      <c r="C203" s="245"/>
      <c r="D203" s="249" t="e">
        <f>SUM(#REF!)</f>
        <v>#REF!</v>
      </c>
      <c r="E203" s="249" t="e">
        <f>SUM(#REF!)</f>
        <v>#REF!</v>
      </c>
      <c r="F203" s="103" t="s">
        <v>179</v>
      </c>
      <c r="G203" s="263">
        <f>SUM(G141,G122)</f>
        <v>250</v>
      </c>
      <c r="H203" s="263">
        <f>SUM(H141,H122)</f>
        <v>95</v>
      </c>
      <c r="I203" s="263">
        <f>SUM(I141,I122)</f>
        <v>0</v>
      </c>
      <c r="J203" s="1042">
        <f>SUM(J141,J122)</f>
        <v>0</v>
      </c>
      <c r="K203" s="122">
        <f t="shared" si="20"/>
        <v>0</v>
      </c>
      <c r="L203" s="122">
        <f t="shared" si="19"/>
        <v>0</v>
      </c>
    </row>
    <row r="204" spans="1:12" ht="13.5" customHeight="1">
      <c r="A204" s="277"/>
      <c r="B204" s="98"/>
      <c r="C204" s="245"/>
      <c r="D204" s="249"/>
      <c r="E204" s="249"/>
      <c r="F204" s="103" t="s">
        <v>446</v>
      </c>
      <c r="G204" s="263">
        <f>SUM(G142)</f>
        <v>0</v>
      </c>
      <c r="H204" s="263">
        <f>SUM(H142)</f>
        <v>0</v>
      </c>
      <c r="I204" s="263">
        <f>SUM(I142)</f>
        <v>100</v>
      </c>
      <c r="J204" s="1042">
        <f>SUM(J142)</f>
        <v>0</v>
      </c>
      <c r="K204" s="122">
        <f t="shared" si="20"/>
        <v>0</v>
      </c>
      <c r="L204" s="122">
        <f t="shared" si="19"/>
        <v>0</v>
      </c>
    </row>
    <row r="205" spans="1:12" ht="13.5" customHeight="1">
      <c r="A205" s="276"/>
      <c r="B205" s="246"/>
      <c r="C205" s="102" t="s">
        <v>474</v>
      </c>
      <c r="D205" s="249"/>
      <c r="E205" s="249"/>
      <c r="F205" s="263"/>
      <c r="G205" s="125">
        <f>SUM(G61:G64,G67,G70,G71,G72,G73,G75,G76,G77,G78,G80,G81,G83,G84,G85,G88,G89,G90,G91,G92,G94,G95,G96,G105,G143)</f>
        <v>535861</v>
      </c>
      <c r="H205" s="125">
        <f>SUM(H61:H64,H67,H70,H71,H72,H73,H75,H76,H77,H78,H80,H81,H83,H84,H85,H88,H89,H90,H91,H92,H94,H95,H96,H105,H143)</f>
        <v>566495</v>
      </c>
      <c r="I205" s="125">
        <f>SUM(I61:I64,I67,I70,I71,I72,I73,I75,I76,I77,I78,I80,I81,I83,I84,I85,I88,I89,I90,I91,I92,I94,I95,I96,I105,I143)</f>
        <v>506216</v>
      </c>
      <c r="J205" s="1114">
        <f>SUM(J61:J64,J67,J70,J71,J72,J73,J75,J76,J77,J78,J80,J81,J83,J84,J85,J88,J89,J90,J91,J94,J96,J105,J143)</f>
        <v>527056</v>
      </c>
      <c r="K205" s="122">
        <f t="shared" si="20"/>
        <v>0.9303806741454028</v>
      </c>
      <c r="L205" s="122">
        <f t="shared" si="19"/>
        <v>1.0411681969752042</v>
      </c>
    </row>
    <row r="206" spans="1:12" ht="13.5" customHeight="1">
      <c r="A206" s="277"/>
      <c r="B206" s="246"/>
      <c r="C206" s="102" t="s">
        <v>885</v>
      </c>
      <c r="D206" s="249"/>
      <c r="E206" s="249"/>
      <c r="F206" s="263"/>
      <c r="G206" s="265">
        <v>0</v>
      </c>
      <c r="H206" s="265">
        <v>0</v>
      </c>
      <c r="I206" s="265">
        <v>0</v>
      </c>
      <c r="J206" s="1125">
        <f>SUM(J95,J92)</f>
        <v>29515</v>
      </c>
      <c r="K206" s="122">
        <f>IF(H206=0,0,J206/H206)</f>
        <v>0</v>
      </c>
      <c r="L206" s="122">
        <f>IF(I206=0,0,J206/I206)</f>
        <v>0</v>
      </c>
    </row>
    <row r="207" spans="1:12" ht="13.5" customHeight="1">
      <c r="A207" s="278"/>
      <c r="B207" s="246"/>
      <c r="C207" s="102" t="s">
        <v>682</v>
      </c>
      <c r="D207" s="268"/>
      <c r="E207" s="86"/>
      <c r="F207" s="88"/>
      <c r="G207" s="264">
        <f>SUM(G144)</f>
        <v>8255</v>
      </c>
      <c r="H207" s="264">
        <f>SUM(H144)</f>
        <v>2000</v>
      </c>
      <c r="I207" s="264">
        <f>SUM(I144)</f>
        <v>12224</v>
      </c>
      <c r="J207" s="1042">
        <f>SUM(J144)</f>
        <v>0</v>
      </c>
      <c r="K207" s="122">
        <f t="shared" si="20"/>
        <v>0</v>
      </c>
      <c r="L207" s="122">
        <f t="shared" si="19"/>
        <v>0</v>
      </c>
    </row>
    <row r="208" spans="1:12" ht="13.5" customHeight="1">
      <c r="A208" s="278"/>
      <c r="B208" s="246"/>
      <c r="C208" s="218" t="s">
        <v>342</v>
      </c>
      <c r="D208" s="268"/>
      <c r="E208" s="86"/>
      <c r="F208" s="88"/>
      <c r="G208" s="264">
        <f>SUM(G145,G54)</f>
        <v>23141</v>
      </c>
      <c r="H208" s="264">
        <f>SUM(H145,H54)</f>
        <v>51500</v>
      </c>
      <c r="I208" s="264">
        <f>SUM(I145,I54)</f>
        <v>40403</v>
      </c>
      <c r="J208" s="1042">
        <f>SUM(J145,J54)</f>
        <v>60536</v>
      </c>
      <c r="K208" s="122">
        <f t="shared" si="20"/>
        <v>1.1754563106796116</v>
      </c>
      <c r="L208" s="122">
        <f t="shared" si="19"/>
        <v>1.4983045813429696</v>
      </c>
    </row>
    <row r="209" spans="1:12" ht="13.5" customHeight="1">
      <c r="A209" s="278"/>
      <c r="B209" s="246"/>
      <c r="C209" s="102" t="s">
        <v>466</v>
      </c>
      <c r="D209" s="268"/>
      <c r="E209" s="86"/>
      <c r="F209" s="88"/>
      <c r="G209" s="264">
        <f>SUM(G19)</f>
        <v>187080</v>
      </c>
      <c r="H209" s="264">
        <f>SUM(H19)</f>
        <v>0</v>
      </c>
      <c r="I209" s="264">
        <f>SUM(I19)</f>
        <v>251778</v>
      </c>
      <c r="J209" s="1042">
        <f>SUM(J19)</f>
        <v>0</v>
      </c>
      <c r="K209" s="122">
        <f t="shared" si="20"/>
        <v>0</v>
      </c>
      <c r="L209" s="122">
        <f t="shared" si="19"/>
        <v>0</v>
      </c>
    </row>
    <row r="210" spans="1:12" ht="13.5" customHeight="1">
      <c r="A210" s="278"/>
      <c r="B210" s="246"/>
      <c r="C210" s="102" t="s">
        <v>465</v>
      </c>
      <c r="D210" s="268"/>
      <c r="E210" s="86"/>
      <c r="F210" s="88"/>
      <c r="G210" s="264">
        <f>SUM(G11,G146)</f>
        <v>24246</v>
      </c>
      <c r="H210" s="264">
        <f>SUM(H11,H146)</f>
        <v>10000</v>
      </c>
      <c r="I210" s="264">
        <f>SUM(I11,I146)</f>
        <v>214736</v>
      </c>
      <c r="J210" s="1042">
        <f>SUM(J11,J146)</f>
        <v>0</v>
      </c>
      <c r="K210" s="122">
        <f t="shared" si="20"/>
        <v>0</v>
      </c>
      <c r="L210" s="383">
        <f t="shared" si="19"/>
        <v>0</v>
      </c>
    </row>
    <row r="211" spans="1:12" ht="13.5" customHeight="1">
      <c r="A211" s="278"/>
      <c r="B211" s="246"/>
      <c r="C211" s="102" t="s">
        <v>683</v>
      </c>
      <c r="D211" s="268"/>
      <c r="E211" s="86"/>
      <c r="F211" s="88"/>
      <c r="G211" s="264">
        <f>SUM(G32,G123,G147,G12,G51)</f>
        <v>133597</v>
      </c>
      <c r="H211" s="264">
        <f>SUM(H32,H123,H147,H12,H51)</f>
        <v>66672</v>
      </c>
      <c r="I211" s="264">
        <f>SUM(I32,I123,I147,I12,I51)</f>
        <v>86710</v>
      </c>
      <c r="J211" s="1042">
        <f>SUM(J32,J123,J147,J12,J51)</f>
        <v>89430</v>
      </c>
      <c r="K211" s="122">
        <f t="shared" si="20"/>
        <v>1.3413426925845933</v>
      </c>
      <c r="L211" s="122">
        <f t="shared" si="19"/>
        <v>1.0313689309191558</v>
      </c>
    </row>
    <row r="212" spans="1:12" ht="13.5" customHeight="1">
      <c r="A212" s="278"/>
      <c r="B212" s="246"/>
      <c r="C212" s="102" t="s">
        <v>215</v>
      </c>
      <c r="D212" s="268"/>
      <c r="E212" s="86"/>
      <c r="F212" s="88"/>
      <c r="G212" s="265">
        <f>SUM(G20,G55,G148,G42,G13,G16,G37)</f>
        <v>1546864</v>
      </c>
      <c r="H212" s="265">
        <f>SUM(H20,H55,H148,H42,H13,H16,H37)</f>
        <v>649669</v>
      </c>
      <c r="I212" s="265">
        <f>SUM(I20,I55,I148,I42,I13,I16,I37)</f>
        <v>2262529</v>
      </c>
      <c r="J212" s="1042">
        <f>SUM(J20,J55,J148,J42,J13,J16,J37)</f>
        <v>220052</v>
      </c>
      <c r="K212" s="122">
        <f t="shared" si="20"/>
        <v>0.3387140220635431</v>
      </c>
      <c r="L212" s="122">
        <f t="shared" si="19"/>
        <v>0.09725930584757146</v>
      </c>
    </row>
    <row r="213" spans="1:12" ht="13.5" customHeight="1">
      <c r="A213" s="278"/>
      <c r="B213" s="246"/>
      <c r="C213" s="102" t="s">
        <v>216</v>
      </c>
      <c r="D213" s="268"/>
      <c r="E213" s="86"/>
      <c r="F213" s="88"/>
      <c r="G213" s="264">
        <f>SUM(G149)</f>
        <v>0</v>
      </c>
      <c r="H213" s="264">
        <f>SUM(H149)</f>
        <v>0</v>
      </c>
      <c r="I213" s="264">
        <f>SUM(I149)</f>
        <v>0</v>
      </c>
      <c r="J213" s="1042">
        <f>SUM(J149)</f>
        <v>0</v>
      </c>
      <c r="K213" s="122">
        <f t="shared" si="20"/>
        <v>0</v>
      </c>
      <c r="L213" s="122">
        <f t="shared" si="19"/>
        <v>0</v>
      </c>
    </row>
    <row r="214" spans="1:12" ht="13.5" customHeight="1">
      <c r="A214" s="278"/>
      <c r="B214" s="246"/>
      <c r="C214" s="102" t="s">
        <v>403</v>
      </c>
      <c r="D214" s="268"/>
      <c r="E214" s="86"/>
      <c r="F214" s="88"/>
      <c r="G214" s="264">
        <f>SUM(G56,G150)</f>
        <v>5777</v>
      </c>
      <c r="H214" s="264">
        <f>SUM(H56,H150)</f>
        <v>91501</v>
      </c>
      <c r="I214" s="264">
        <f>SUM(I56,I150)</f>
        <v>142522</v>
      </c>
      <c r="J214" s="1042">
        <f>SUM(J56,J150)</f>
        <v>118446</v>
      </c>
      <c r="K214" s="122">
        <f t="shared" si="20"/>
        <v>1.2944776559819018</v>
      </c>
      <c r="L214" s="383">
        <f t="shared" si="19"/>
        <v>0.8310716941945805</v>
      </c>
    </row>
    <row r="215" spans="1:12" ht="13.5" customHeight="1">
      <c r="A215" s="615"/>
      <c r="B215" s="603"/>
      <c r="C215" s="608"/>
      <c r="D215" s="616"/>
      <c r="E215" s="617"/>
      <c r="F215" s="610" t="s">
        <v>180</v>
      </c>
      <c r="G215" s="623">
        <f>SUM(G151)</f>
        <v>0</v>
      </c>
      <c r="H215" s="623">
        <f aca="true" t="shared" si="22" ref="H215:J216">SUM(H151)</f>
        <v>85501</v>
      </c>
      <c r="I215" s="618">
        <f t="shared" si="22"/>
        <v>137271</v>
      </c>
      <c r="J215" s="1043">
        <f t="shared" si="22"/>
        <v>111535</v>
      </c>
      <c r="K215" s="362">
        <f t="shared" si="20"/>
        <v>1.3044876668109144</v>
      </c>
      <c r="L215" s="362">
        <f t="shared" si="19"/>
        <v>0.8125168462384627</v>
      </c>
    </row>
    <row r="216" spans="1:12" ht="13.5" customHeight="1">
      <c r="A216" s="619"/>
      <c r="B216" s="605"/>
      <c r="C216" s="612"/>
      <c r="D216" s="620"/>
      <c r="E216" s="621"/>
      <c r="F216" s="602" t="s">
        <v>447</v>
      </c>
      <c r="G216" s="624">
        <f>SUM(G152)</f>
        <v>0</v>
      </c>
      <c r="H216" s="624">
        <f t="shared" si="22"/>
        <v>0</v>
      </c>
      <c r="I216" s="622">
        <f t="shared" si="22"/>
        <v>114272</v>
      </c>
      <c r="J216" s="1044">
        <f t="shared" si="22"/>
        <v>0</v>
      </c>
      <c r="K216" s="601">
        <f>IF(H216=0,0,J216/H216)</f>
        <v>0</v>
      </c>
      <c r="L216" s="601">
        <f>IF(I216=0,0,J216/I216)</f>
        <v>0</v>
      </c>
    </row>
    <row r="217" spans="1:12" ht="13.5" customHeight="1">
      <c r="A217" s="324"/>
      <c r="B217" s="257"/>
      <c r="C217" s="245"/>
      <c r="D217" s="268"/>
      <c r="E217" s="86"/>
      <c r="F217" s="76" t="s">
        <v>182</v>
      </c>
      <c r="G217" s="125">
        <f>SUM(G56,)</f>
        <v>5777</v>
      </c>
      <c r="H217" s="125">
        <f>SUM(H56,)</f>
        <v>6000</v>
      </c>
      <c r="I217" s="125">
        <f>SUM(I56,)</f>
        <v>5251</v>
      </c>
      <c r="J217" s="1041">
        <f>SUM(J56,)</f>
        <v>6911</v>
      </c>
      <c r="K217" s="122">
        <f t="shared" si="20"/>
        <v>1.1518333333333333</v>
      </c>
      <c r="L217" s="122">
        <f t="shared" si="19"/>
        <v>1.3161302609026853</v>
      </c>
    </row>
    <row r="218" spans="1:12" ht="13.5" customHeight="1">
      <c r="A218" s="278"/>
      <c r="B218" s="246"/>
      <c r="C218" s="102" t="s">
        <v>217</v>
      </c>
      <c r="D218" s="268"/>
      <c r="E218" s="86"/>
      <c r="F218" s="88"/>
      <c r="G218" s="264">
        <f>SUM(G219:G223)</f>
        <v>69574</v>
      </c>
      <c r="H218" s="264">
        <f>SUM(H219:H223)</f>
        <v>116231</v>
      </c>
      <c r="I218" s="264">
        <f>SUM(I219:I223)</f>
        <v>114996</v>
      </c>
      <c r="J218" s="1042">
        <f>SUM(J219:J223)</f>
        <v>32964</v>
      </c>
      <c r="K218" s="122">
        <f t="shared" si="20"/>
        <v>0.28360764339978145</v>
      </c>
      <c r="L218" s="122">
        <f t="shared" si="19"/>
        <v>0.286653448815611</v>
      </c>
    </row>
    <row r="219" spans="1:12" ht="13.5" customHeight="1">
      <c r="A219" s="278"/>
      <c r="B219" s="257"/>
      <c r="C219" s="245"/>
      <c r="D219" s="268"/>
      <c r="E219" s="86"/>
      <c r="F219" s="100" t="s">
        <v>178</v>
      </c>
      <c r="G219" s="264">
        <f>SUM(G57,G154,G124)</f>
        <v>21432</v>
      </c>
      <c r="H219" s="264">
        <f>SUM(H57,H154,H124)</f>
        <v>81931</v>
      </c>
      <c r="I219" s="264">
        <f>SUM(I57,I154,I124)</f>
        <v>51604</v>
      </c>
      <c r="J219" s="1042">
        <f>SUM(J57,J154,J124)</f>
        <v>12414</v>
      </c>
      <c r="K219" s="122">
        <f t="shared" si="20"/>
        <v>0.1515177405377696</v>
      </c>
      <c r="L219" s="122">
        <f t="shared" si="19"/>
        <v>0.24056274707387024</v>
      </c>
    </row>
    <row r="220" spans="1:12" ht="13.5" customHeight="1">
      <c r="A220" s="278"/>
      <c r="B220" s="257"/>
      <c r="C220" s="245"/>
      <c r="D220" s="268"/>
      <c r="E220" s="86"/>
      <c r="F220" s="104" t="s">
        <v>181</v>
      </c>
      <c r="G220" s="264">
        <f>SUM(G155)</f>
        <v>10650</v>
      </c>
      <c r="H220" s="264">
        <f>SUM(H155)</f>
        <v>20000</v>
      </c>
      <c r="I220" s="264">
        <f>SUM(I155)</f>
        <v>15450</v>
      </c>
      <c r="J220" s="1042">
        <f>SUM(J155)</f>
        <v>20000</v>
      </c>
      <c r="K220" s="122">
        <f t="shared" si="20"/>
        <v>1</v>
      </c>
      <c r="L220" s="122">
        <f t="shared" si="19"/>
        <v>1.2944983818770226</v>
      </c>
    </row>
    <row r="221" spans="1:12" ht="13.5" customHeight="1">
      <c r="A221" s="278"/>
      <c r="B221" s="257"/>
      <c r="C221" s="245"/>
      <c r="D221" s="268"/>
      <c r="E221" s="86"/>
      <c r="F221" s="104" t="s">
        <v>529</v>
      </c>
      <c r="G221" s="264">
        <v>10369</v>
      </c>
      <c r="H221" s="264">
        <f>SUM(H58)</f>
        <v>0</v>
      </c>
      <c r="I221" s="264">
        <f>SUM(I58)</f>
        <v>0</v>
      </c>
      <c r="J221" s="1042">
        <f>SUM(J58)</f>
        <v>0</v>
      </c>
      <c r="K221" s="122">
        <f t="shared" si="20"/>
        <v>0</v>
      </c>
      <c r="L221" s="122">
        <f t="shared" si="19"/>
        <v>0</v>
      </c>
    </row>
    <row r="222" spans="1:12" ht="13.5" customHeight="1">
      <c r="A222" s="278"/>
      <c r="B222" s="257"/>
      <c r="C222" s="245"/>
      <c r="D222" s="268"/>
      <c r="E222" s="86"/>
      <c r="F222" s="104" t="s">
        <v>179</v>
      </c>
      <c r="G222" s="265">
        <v>20123</v>
      </c>
      <c r="H222" s="265">
        <f>SUM(H36,H41,H17,H156)</f>
        <v>11000</v>
      </c>
      <c r="I222" s="265">
        <f>SUM(I36,I41,I17,I156)</f>
        <v>44942</v>
      </c>
      <c r="J222" s="1042">
        <f>SUM(J36,J41,J17,J156)</f>
        <v>550</v>
      </c>
      <c r="K222" s="122">
        <f t="shared" si="20"/>
        <v>0.05</v>
      </c>
      <c r="L222" s="122">
        <f t="shared" si="19"/>
        <v>0.012237995638823372</v>
      </c>
    </row>
    <row r="223" spans="1:12" ht="13.5" customHeight="1">
      <c r="A223" s="324"/>
      <c r="B223" s="257"/>
      <c r="C223" s="245"/>
      <c r="D223" s="268"/>
      <c r="E223" s="86"/>
      <c r="F223" s="104" t="s">
        <v>480</v>
      </c>
      <c r="G223" s="125">
        <f>SUM(G157)</f>
        <v>7000</v>
      </c>
      <c r="H223" s="125">
        <f>SUM(H157)</f>
        <v>3300</v>
      </c>
      <c r="I223" s="125">
        <f>SUM(I157)</f>
        <v>3000</v>
      </c>
      <c r="J223" s="1041">
        <f>SUM(J157)</f>
        <v>0</v>
      </c>
      <c r="K223" s="122">
        <f aca="true" t="shared" si="23" ref="K223:K234">IF(H223=0,0,J223/H223)</f>
        <v>0</v>
      </c>
      <c r="L223" s="122">
        <f aca="true" t="shared" si="24" ref="L223:L234">IF(I223=0,0,J223/I223)</f>
        <v>0</v>
      </c>
    </row>
    <row r="224" spans="1:12" ht="13.5" customHeight="1">
      <c r="A224" s="324"/>
      <c r="B224" s="257"/>
      <c r="C224" s="1368" t="s">
        <v>630</v>
      </c>
      <c r="D224" s="1368"/>
      <c r="E224" s="1368"/>
      <c r="F224" s="1369"/>
      <c r="G224" s="308">
        <f>SUM(G225:G226)</f>
        <v>12141</v>
      </c>
      <c r="H224" s="308">
        <f>SUM(H225:H226)</f>
        <v>505332</v>
      </c>
      <c r="I224" s="308">
        <f>SUM(I225:I226)</f>
        <v>509306</v>
      </c>
      <c r="J224" s="1045">
        <f>SUM(J225:J226)</f>
        <v>8125</v>
      </c>
      <c r="K224" s="122">
        <f t="shared" si="23"/>
        <v>0.0160785384658007</v>
      </c>
      <c r="L224" s="122">
        <f t="shared" si="24"/>
        <v>0.01595308125174257</v>
      </c>
    </row>
    <row r="225" spans="1:12" ht="13.5" customHeight="1">
      <c r="A225" s="324"/>
      <c r="B225" s="257"/>
      <c r="C225" s="298"/>
      <c r="D225" s="298"/>
      <c r="E225" s="298"/>
      <c r="F225" s="299" t="s">
        <v>631</v>
      </c>
      <c r="G225" s="308">
        <f>SUM(G159)</f>
        <v>0</v>
      </c>
      <c r="H225" s="308">
        <f aca="true" t="shared" si="25" ref="H225:J226">SUM(H159)</f>
        <v>498000</v>
      </c>
      <c r="I225" s="308">
        <f t="shared" si="25"/>
        <v>498000</v>
      </c>
      <c r="J225" s="1131">
        <f t="shared" si="25"/>
        <v>0</v>
      </c>
      <c r="K225" s="122">
        <f t="shared" si="23"/>
        <v>0</v>
      </c>
      <c r="L225" s="122">
        <f t="shared" si="24"/>
        <v>0</v>
      </c>
    </row>
    <row r="226" spans="1:12" ht="13.5" customHeight="1">
      <c r="A226" s="324"/>
      <c r="B226" s="257"/>
      <c r="C226" s="298"/>
      <c r="D226" s="298"/>
      <c r="E226" s="298"/>
      <c r="F226" s="299" t="s">
        <v>632</v>
      </c>
      <c r="G226" s="308">
        <f>SUM(G160)</f>
        <v>12141</v>
      </c>
      <c r="H226" s="308">
        <f t="shared" si="25"/>
        <v>7332</v>
      </c>
      <c r="I226" s="308">
        <f t="shared" si="25"/>
        <v>11306</v>
      </c>
      <c r="J226" s="1131">
        <f t="shared" si="25"/>
        <v>8125</v>
      </c>
      <c r="K226" s="122">
        <f t="shared" si="23"/>
        <v>1.1081560283687943</v>
      </c>
      <c r="L226" s="122">
        <f t="shared" si="24"/>
        <v>0.7186449672740138</v>
      </c>
    </row>
    <row r="227" spans="1:12" ht="13.5" customHeight="1">
      <c r="A227" s="324"/>
      <c r="B227" s="257"/>
      <c r="C227" s="303" t="s">
        <v>774</v>
      </c>
      <c r="D227" s="301"/>
      <c r="E227" s="301"/>
      <c r="F227" s="302"/>
      <c r="G227" s="307">
        <f>SUM(G228:G230)</f>
        <v>0</v>
      </c>
      <c r="H227" s="307">
        <f>SUM(H228:H230)</f>
        <v>1453639</v>
      </c>
      <c r="I227" s="307">
        <f>SUM(I228:I230)</f>
        <v>0</v>
      </c>
      <c r="J227" s="1040">
        <f>SUM(J228:J230)</f>
        <v>2629230</v>
      </c>
      <c r="K227" s="122">
        <f t="shared" si="23"/>
        <v>1.8087227984389522</v>
      </c>
      <c r="L227" s="122">
        <f t="shared" si="24"/>
        <v>0</v>
      </c>
    </row>
    <row r="228" spans="1:12" ht="13.5" customHeight="1">
      <c r="A228" s="324"/>
      <c r="B228" s="257"/>
      <c r="C228" s="310"/>
      <c r="D228" s="301"/>
      <c r="E228" s="301"/>
      <c r="F228" s="299" t="s">
        <v>533</v>
      </c>
      <c r="G228" s="307">
        <f aca="true" t="shared" si="26" ref="G228:J230">SUM(G162)</f>
        <v>0</v>
      </c>
      <c r="H228" s="307">
        <f t="shared" si="26"/>
        <v>628235</v>
      </c>
      <c r="I228" s="307">
        <f t="shared" si="26"/>
        <v>0</v>
      </c>
      <c r="J228" s="1132">
        <f t="shared" si="26"/>
        <v>2123250</v>
      </c>
      <c r="K228" s="122">
        <f t="shared" si="23"/>
        <v>3.3797066384394374</v>
      </c>
      <c r="L228" s="122">
        <f t="shared" si="24"/>
        <v>0</v>
      </c>
    </row>
    <row r="229" spans="1:12" ht="13.5" customHeight="1">
      <c r="A229" s="324"/>
      <c r="B229" s="257"/>
      <c r="C229" s="304"/>
      <c r="D229" s="311"/>
      <c r="E229" s="311"/>
      <c r="F229" s="305" t="s">
        <v>354</v>
      </c>
      <c r="G229" s="307">
        <f t="shared" si="26"/>
        <v>0</v>
      </c>
      <c r="H229" s="307">
        <f t="shared" si="26"/>
        <v>62000</v>
      </c>
      <c r="I229" s="307">
        <f t="shared" si="26"/>
        <v>0</v>
      </c>
      <c r="J229" s="1132">
        <f t="shared" si="26"/>
        <v>62000</v>
      </c>
      <c r="K229" s="122">
        <f t="shared" si="23"/>
        <v>1</v>
      </c>
      <c r="L229" s="122">
        <f t="shared" si="24"/>
        <v>0</v>
      </c>
    </row>
    <row r="230" spans="1:12" ht="13.5" customHeight="1">
      <c r="A230" s="324"/>
      <c r="B230" s="257"/>
      <c r="C230" s="314"/>
      <c r="D230" s="315"/>
      <c r="E230" s="315"/>
      <c r="F230" s="306" t="s">
        <v>534</v>
      </c>
      <c r="G230" s="307">
        <f t="shared" si="26"/>
        <v>0</v>
      </c>
      <c r="H230" s="307">
        <f t="shared" si="26"/>
        <v>763404</v>
      </c>
      <c r="I230" s="307">
        <f t="shared" si="26"/>
        <v>0</v>
      </c>
      <c r="J230" s="1132">
        <f t="shared" si="26"/>
        <v>443980</v>
      </c>
      <c r="K230" s="122">
        <f t="shared" si="23"/>
        <v>0.5815793472394696</v>
      </c>
      <c r="L230" s="122">
        <f t="shared" si="24"/>
        <v>0</v>
      </c>
    </row>
    <row r="231" spans="1:70" s="94" customFormat="1" ht="13.5" customHeight="1">
      <c r="A231" s="324"/>
      <c r="B231" s="257"/>
      <c r="C231" s="1368" t="s">
        <v>531</v>
      </c>
      <c r="D231" s="1368"/>
      <c r="E231" s="1368"/>
      <c r="F231" s="1369"/>
      <c r="G231" s="307">
        <f>SUM(G232:G233)</f>
        <v>98552</v>
      </c>
      <c r="H231" s="307">
        <f>SUM(H232:H233)</f>
        <v>145064</v>
      </c>
      <c r="I231" s="307">
        <f>SUM(I232:I233)</f>
        <v>2295963</v>
      </c>
      <c r="J231" s="1040">
        <f>SUM(J232:J233)</f>
        <v>145064</v>
      </c>
      <c r="K231" s="122">
        <f t="shared" si="23"/>
        <v>1</v>
      </c>
      <c r="L231" s="122">
        <f t="shared" si="24"/>
        <v>0.06318220284908772</v>
      </c>
      <c r="M231" s="293"/>
      <c r="N231" s="293"/>
      <c r="O231" s="293"/>
      <c r="P231" s="293"/>
      <c r="Q231" s="293"/>
      <c r="R231" s="293"/>
      <c r="S231" s="293"/>
      <c r="T231" s="293"/>
      <c r="U231" s="293"/>
      <c r="V231" s="293"/>
      <c r="W231" s="293"/>
      <c r="X231" s="293"/>
      <c r="Y231" s="293"/>
      <c r="Z231" s="293"/>
      <c r="AA231" s="293"/>
      <c r="AB231" s="293"/>
      <c r="AC231" s="293"/>
      <c r="AD231" s="293"/>
      <c r="AE231" s="293"/>
      <c r="AF231" s="293"/>
      <c r="AG231" s="293"/>
      <c r="AH231" s="293"/>
      <c r="AI231" s="293"/>
      <c r="AJ231" s="293"/>
      <c r="AK231" s="293"/>
      <c r="AL231" s="293"/>
      <c r="AM231" s="293"/>
      <c r="AN231" s="293"/>
      <c r="AO231" s="293"/>
      <c r="AP231" s="293"/>
      <c r="AQ231" s="293"/>
      <c r="AR231" s="293"/>
      <c r="AS231" s="293"/>
      <c r="AT231" s="293"/>
      <c r="AU231" s="293"/>
      <c r="AV231" s="293"/>
      <c r="AW231" s="293"/>
      <c r="AX231" s="293"/>
      <c r="AY231" s="293"/>
      <c r="AZ231" s="293"/>
      <c r="BA231" s="293"/>
      <c r="BB231" s="293"/>
      <c r="BC231" s="293"/>
      <c r="BD231" s="293"/>
      <c r="BE231" s="293"/>
      <c r="BF231" s="293"/>
      <c r="BG231" s="293"/>
      <c r="BH231" s="293"/>
      <c r="BI231" s="293"/>
      <c r="BJ231" s="293"/>
      <c r="BK231" s="293"/>
      <c r="BL231" s="293"/>
      <c r="BM231" s="293"/>
      <c r="BN231" s="293"/>
      <c r="BO231" s="293"/>
      <c r="BP231" s="293"/>
      <c r="BQ231" s="293"/>
      <c r="BR231" s="293"/>
    </row>
    <row r="232" spans="1:70" s="94" customFormat="1" ht="13.5" customHeight="1">
      <c r="A232" s="300"/>
      <c r="B232" s="257"/>
      <c r="C232" s="86"/>
      <c r="D232" s="86"/>
      <c r="E232" s="86"/>
      <c r="F232" s="299" t="s">
        <v>771</v>
      </c>
      <c r="G232" s="308">
        <f>SUM(G166)</f>
        <v>98552</v>
      </c>
      <c r="H232" s="308">
        <f aca="true" t="shared" si="27" ref="H232:J233">SUM(H166)</f>
        <v>145064</v>
      </c>
      <c r="I232" s="308">
        <f t="shared" si="27"/>
        <v>145064</v>
      </c>
      <c r="J232" s="1045">
        <f t="shared" si="27"/>
        <v>145064</v>
      </c>
      <c r="K232" s="122">
        <f t="shared" si="23"/>
        <v>1</v>
      </c>
      <c r="L232" s="122">
        <f t="shared" si="24"/>
        <v>1</v>
      </c>
      <c r="M232" s="293"/>
      <c r="N232" s="293"/>
      <c r="O232" s="293"/>
      <c r="P232" s="293"/>
      <c r="Q232" s="293"/>
      <c r="R232" s="293"/>
      <c r="S232" s="293"/>
      <c r="T232" s="293"/>
      <c r="U232" s="293"/>
      <c r="V232" s="293"/>
      <c r="W232" s="293"/>
      <c r="X232" s="293"/>
      <c r="Y232" s="293"/>
      <c r="Z232" s="293"/>
      <c r="AA232" s="293"/>
      <c r="AB232" s="293"/>
      <c r="AC232" s="293"/>
      <c r="AD232" s="293"/>
      <c r="AE232" s="293"/>
      <c r="AF232" s="293"/>
      <c r="AG232" s="293"/>
      <c r="AH232" s="293"/>
      <c r="AI232" s="293"/>
      <c r="AJ232" s="293"/>
      <c r="AK232" s="293"/>
      <c r="AL232" s="293"/>
      <c r="AM232" s="293"/>
      <c r="AN232" s="293"/>
      <c r="AO232" s="293"/>
      <c r="AP232" s="293"/>
      <c r="AQ232" s="293"/>
      <c r="AR232" s="293"/>
      <c r="AS232" s="293"/>
      <c r="AT232" s="293"/>
      <c r="AU232" s="293"/>
      <c r="AV232" s="293"/>
      <c r="AW232" s="293"/>
      <c r="AX232" s="293"/>
      <c r="AY232" s="293"/>
      <c r="AZ232" s="293"/>
      <c r="BA232" s="293"/>
      <c r="BB232" s="293"/>
      <c r="BC232" s="293"/>
      <c r="BD232" s="293"/>
      <c r="BE232" s="293"/>
      <c r="BF232" s="293"/>
      <c r="BG232" s="293"/>
      <c r="BH232" s="293"/>
      <c r="BI232" s="293"/>
      <c r="BJ232" s="293"/>
      <c r="BK232" s="293"/>
      <c r="BL232" s="293"/>
      <c r="BM232" s="293"/>
      <c r="BN232" s="293"/>
      <c r="BO232" s="293"/>
      <c r="BP232" s="293"/>
      <c r="BQ232" s="293"/>
      <c r="BR232" s="293"/>
    </row>
    <row r="233" spans="1:70" s="94" customFormat="1" ht="13.5" customHeight="1">
      <c r="A233" s="300"/>
      <c r="B233" s="257"/>
      <c r="C233" s="86"/>
      <c r="D233" s="86"/>
      <c r="E233" s="86"/>
      <c r="F233" s="299" t="s">
        <v>532</v>
      </c>
      <c r="G233" s="308">
        <f>SUM(G167)</f>
        <v>0</v>
      </c>
      <c r="H233" s="308">
        <f t="shared" si="27"/>
        <v>0</v>
      </c>
      <c r="I233" s="308">
        <f t="shared" si="27"/>
        <v>2150899</v>
      </c>
      <c r="J233" s="1045">
        <f t="shared" si="27"/>
        <v>0</v>
      </c>
      <c r="K233" s="122">
        <f t="shared" si="23"/>
        <v>0</v>
      </c>
      <c r="L233" s="122">
        <f t="shared" si="24"/>
        <v>0</v>
      </c>
      <c r="M233" s="293"/>
      <c r="N233" s="293"/>
      <c r="O233" s="293"/>
      <c r="P233" s="293"/>
      <c r="Q233" s="293"/>
      <c r="R233" s="293"/>
      <c r="S233" s="293"/>
      <c r="T233" s="293"/>
      <c r="U233" s="293"/>
      <c r="V233" s="293"/>
      <c r="W233" s="293"/>
      <c r="X233" s="293"/>
      <c r="Y233" s="293"/>
      <c r="Z233" s="293"/>
      <c r="AA233" s="293"/>
      <c r="AB233" s="293"/>
      <c r="AC233" s="293"/>
      <c r="AD233" s="293"/>
      <c r="AE233" s="293"/>
      <c r="AF233" s="293"/>
      <c r="AG233" s="293"/>
      <c r="AH233" s="293"/>
      <c r="AI233" s="293"/>
      <c r="AJ233" s="293"/>
      <c r="AK233" s="293"/>
      <c r="AL233" s="293"/>
      <c r="AM233" s="293"/>
      <c r="AN233" s="293"/>
      <c r="AO233" s="293"/>
      <c r="AP233" s="293"/>
      <c r="AQ233" s="293"/>
      <c r="AR233" s="293"/>
      <c r="AS233" s="293"/>
      <c r="AT233" s="293"/>
      <c r="AU233" s="293"/>
      <c r="AV233" s="293"/>
      <c r="AW233" s="293"/>
      <c r="AX233" s="293"/>
      <c r="AY233" s="293"/>
      <c r="AZ233" s="293"/>
      <c r="BA233" s="293"/>
      <c r="BB233" s="293"/>
      <c r="BC233" s="293"/>
      <c r="BD233" s="293"/>
      <c r="BE233" s="293"/>
      <c r="BF233" s="293"/>
      <c r="BG233" s="293"/>
      <c r="BH233" s="293"/>
      <c r="BI233" s="293"/>
      <c r="BJ233" s="293"/>
      <c r="BK233" s="293"/>
      <c r="BL233" s="293"/>
      <c r="BM233" s="293"/>
      <c r="BN233" s="293"/>
      <c r="BO233" s="293"/>
      <c r="BP233" s="293"/>
      <c r="BQ233" s="293"/>
      <c r="BR233" s="293"/>
    </row>
    <row r="234" spans="1:70" s="317" customFormat="1" ht="13.5" customHeight="1">
      <c r="A234" s="312"/>
      <c r="B234" s="313"/>
      <c r="C234" s="303" t="s">
        <v>775</v>
      </c>
      <c r="D234" s="315"/>
      <c r="E234" s="315"/>
      <c r="F234" s="318"/>
      <c r="G234" s="307">
        <f>SUM(G185)</f>
        <v>7369746</v>
      </c>
      <c r="H234" s="307">
        <f>SUM(H185)</f>
        <v>7528303</v>
      </c>
      <c r="I234" s="307">
        <f>SUM(I185)</f>
        <v>7971952</v>
      </c>
      <c r="J234" s="1040">
        <f>SUM(J185)</f>
        <v>7439104</v>
      </c>
      <c r="K234" s="122">
        <f t="shared" si="23"/>
        <v>0.9881515130302274</v>
      </c>
      <c r="L234" s="122">
        <f t="shared" si="24"/>
        <v>0.9331596577601069</v>
      </c>
      <c r="M234" s="316"/>
      <c r="N234" s="316"/>
      <c r="O234" s="316"/>
      <c r="P234" s="316"/>
      <c r="Q234" s="316"/>
      <c r="R234" s="316"/>
      <c r="S234" s="316"/>
      <c r="T234" s="316"/>
      <c r="U234" s="316"/>
      <c r="V234" s="316"/>
      <c r="W234" s="316"/>
      <c r="X234" s="316"/>
      <c r="Y234" s="316"/>
      <c r="Z234" s="316"/>
      <c r="AA234" s="316"/>
      <c r="AB234" s="316"/>
      <c r="AC234" s="316"/>
      <c r="AD234" s="316"/>
      <c r="AE234" s="316"/>
      <c r="AF234" s="316"/>
      <c r="AG234" s="316"/>
      <c r="AH234" s="316"/>
      <c r="AI234" s="316"/>
      <c r="AJ234" s="316"/>
      <c r="AK234" s="316"/>
      <c r="AL234" s="316"/>
      <c r="AM234" s="316"/>
      <c r="AN234" s="316"/>
      <c r="AO234" s="316"/>
      <c r="AP234" s="316"/>
      <c r="AQ234" s="316"/>
      <c r="AR234" s="316"/>
      <c r="AS234" s="316"/>
      <c r="AT234" s="316"/>
      <c r="AU234" s="316"/>
      <c r="AV234" s="316"/>
      <c r="AW234" s="316"/>
      <c r="AX234" s="316"/>
      <c r="AY234" s="316"/>
      <c r="AZ234" s="316"/>
      <c r="BA234" s="316"/>
      <c r="BB234" s="316"/>
      <c r="BC234" s="316"/>
      <c r="BD234" s="316"/>
      <c r="BE234" s="316"/>
      <c r="BF234" s="316"/>
      <c r="BG234" s="316"/>
      <c r="BH234" s="316"/>
      <c r="BI234" s="316"/>
      <c r="BJ234" s="316"/>
      <c r="BK234" s="316"/>
      <c r="BL234" s="316"/>
      <c r="BM234" s="316"/>
      <c r="BN234" s="316"/>
      <c r="BO234" s="316"/>
      <c r="BP234" s="316"/>
      <c r="BQ234" s="316"/>
      <c r="BR234" s="316"/>
    </row>
    <row r="235" spans="1:12" ht="12.75">
      <c r="A235" s="22"/>
      <c r="B235" s="22"/>
      <c r="C235" s="22"/>
      <c r="D235" s="22"/>
      <c r="E235" s="22"/>
      <c r="F235" s="22"/>
      <c r="G235" s="1023"/>
      <c r="H235" s="22"/>
      <c r="I235" s="22"/>
      <c r="J235" s="529"/>
      <c r="K235" s="24"/>
      <c r="L235" s="22"/>
    </row>
    <row r="236" spans="1:12" ht="12.75">
      <c r="A236" s="22"/>
      <c r="B236" s="22"/>
      <c r="C236" s="22"/>
      <c r="D236" s="22"/>
      <c r="E236" s="22"/>
      <c r="F236" s="22"/>
      <c r="G236" s="1023"/>
      <c r="H236" s="22"/>
      <c r="I236" s="22"/>
      <c r="J236" s="529"/>
      <c r="K236" s="24"/>
      <c r="L236" s="22"/>
    </row>
    <row r="237" spans="1:12" ht="12.75">
      <c r="A237" s="22"/>
      <c r="B237" s="22"/>
      <c r="C237" s="22"/>
      <c r="D237" s="22"/>
      <c r="E237" s="22"/>
      <c r="F237" s="22"/>
      <c r="G237" s="1023"/>
      <c r="H237" s="22"/>
      <c r="I237" s="22"/>
      <c r="J237" s="529"/>
      <c r="K237" s="24"/>
      <c r="L237" s="22"/>
    </row>
    <row r="238" spans="1:12" ht="12.75">
      <c r="A238" s="22"/>
      <c r="B238" s="22"/>
      <c r="C238" s="22"/>
      <c r="D238" s="22"/>
      <c r="E238" s="22"/>
      <c r="F238" s="22"/>
      <c r="G238" s="1023"/>
      <c r="H238" s="22"/>
      <c r="I238" s="22"/>
      <c r="J238" s="529"/>
      <c r="K238" s="24"/>
      <c r="L238" s="22"/>
    </row>
    <row r="239" spans="1:12" ht="12.75">
      <c r="A239" s="22"/>
      <c r="B239" s="22"/>
      <c r="C239" s="22"/>
      <c r="D239" s="22"/>
      <c r="E239" s="22"/>
      <c r="F239" s="22"/>
      <c r="G239" s="1023"/>
      <c r="H239" s="22"/>
      <c r="I239" s="22"/>
      <c r="J239" s="529"/>
      <c r="K239" s="24"/>
      <c r="L239" s="22"/>
    </row>
    <row r="240" spans="1:12" ht="12.75">
      <c r="A240" s="22"/>
      <c r="B240" s="22"/>
      <c r="C240" s="22"/>
      <c r="D240" s="22"/>
      <c r="E240" s="22"/>
      <c r="F240" s="22"/>
      <c r="G240" s="1023"/>
      <c r="H240" s="22"/>
      <c r="I240" s="22"/>
      <c r="J240" s="529"/>
      <c r="K240" s="24"/>
      <c r="L240" s="22"/>
    </row>
    <row r="241" spans="1:12" ht="12.75">
      <c r="A241" s="22"/>
      <c r="B241" s="22"/>
      <c r="C241" s="22"/>
      <c r="D241" s="22"/>
      <c r="E241" s="22"/>
      <c r="F241" s="22"/>
      <c r="G241" s="1023"/>
      <c r="H241" s="22"/>
      <c r="I241" s="22"/>
      <c r="J241" s="529"/>
      <c r="K241" s="24"/>
      <c r="L241" s="22"/>
    </row>
    <row r="242" spans="1:12" ht="12.75">
      <c r="A242" s="22"/>
      <c r="B242" s="22"/>
      <c r="C242" s="22"/>
      <c r="D242" s="22"/>
      <c r="E242" s="22"/>
      <c r="F242" s="22"/>
      <c r="G242" s="1023"/>
      <c r="H242" s="22"/>
      <c r="I242" s="22"/>
      <c r="J242" s="529"/>
      <c r="K242" s="24"/>
      <c r="L242" s="22"/>
    </row>
    <row r="243" spans="1:12" ht="12.75">
      <c r="A243" s="22"/>
      <c r="B243" s="22"/>
      <c r="C243" s="22"/>
      <c r="D243" s="22"/>
      <c r="E243" s="22"/>
      <c r="F243" s="22"/>
      <c r="G243" s="1023"/>
      <c r="H243" s="22"/>
      <c r="I243" s="22"/>
      <c r="J243" s="529"/>
      <c r="K243" s="24"/>
      <c r="L243" s="22"/>
    </row>
    <row r="244" spans="1:12" ht="12.75">
      <c r="A244" s="22"/>
      <c r="B244" s="22"/>
      <c r="C244" s="22"/>
      <c r="D244" s="22"/>
      <c r="E244" s="22"/>
      <c r="F244" s="22"/>
      <c r="G244" s="1023"/>
      <c r="H244" s="22"/>
      <c r="I244" s="22"/>
      <c r="J244" s="529"/>
      <c r="K244" s="24"/>
      <c r="L244" s="22"/>
    </row>
    <row r="245" spans="1:12" ht="12.75">
      <c r="A245" s="22"/>
      <c r="B245" s="22"/>
      <c r="C245" s="22"/>
      <c r="D245" s="22"/>
      <c r="E245" s="22"/>
      <c r="F245" s="22"/>
      <c r="G245" s="1023"/>
      <c r="H245" s="22"/>
      <c r="I245" s="22"/>
      <c r="J245" s="529"/>
      <c r="K245" s="24"/>
      <c r="L245" s="22"/>
    </row>
    <row r="246" spans="1:12" ht="12.75">
      <c r="A246" s="22"/>
      <c r="B246" s="22"/>
      <c r="C246" s="22"/>
      <c r="D246" s="22"/>
      <c r="E246" s="22"/>
      <c r="F246" s="22"/>
      <c r="G246" s="1023"/>
      <c r="H246" s="22"/>
      <c r="I246" s="22"/>
      <c r="J246" s="529"/>
      <c r="K246" s="24"/>
      <c r="L246" s="22"/>
    </row>
    <row r="247" spans="1:12" ht="12.75">
      <c r="A247" s="22"/>
      <c r="B247" s="22"/>
      <c r="C247" s="22"/>
      <c r="D247" s="22"/>
      <c r="E247" s="22"/>
      <c r="F247" s="22"/>
      <c r="G247" s="1023"/>
      <c r="H247" s="22"/>
      <c r="I247" s="22"/>
      <c r="J247" s="529"/>
      <c r="K247" s="24"/>
      <c r="L247" s="22"/>
    </row>
    <row r="248" spans="1:12" ht="12.75">
      <c r="A248" s="22"/>
      <c r="B248" s="22"/>
      <c r="C248" s="22"/>
      <c r="D248" s="22"/>
      <c r="E248" s="22"/>
      <c r="F248" s="22"/>
      <c r="G248" s="1023"/>
      <c r="H248" s="22"/>
      <c r="I248" s="22"/>
      <c r="J248" s="529"/>
      <c r="K248" s="24"/>
      <c r="L248" s="22"/>
    </row>
    <row r="249" spans="1:12" ht="12.75">
      <c r="A249" s="22"/>
      <c r="B249" s="22"/>
      <c r="C249" s="22"/>
      <c r="D249" s="22"/>
      <c r="E249" s="22"/>
      <c r="F249" s="22"/>
      <c r="G249" s="1023"/>
      <c r="H249" s="22"/>
      <c r="I249" s="22"/>
      <c r="J249" s="529"/>
      <c r="K249" s="24"/>
      <c r="L249" s="22"/>
    </row>
    <row r="250" spans="1:12" ht="12.75">
      <c r="A250" s="22"/>
      <c r="B250" s="22"/>
      <c r="C250" s="22"/>
      <c r="D250" s="22"/>
      <c r="E250" s="22"/>
      <c r="F250" s="22"/>
      <c r="G250" s="1023"/>
      <c r="H250" s="22"/>
      <c r="I250" s="22"/>
      <c r="J250" s="529"/>
      <c r="K250" s="24"/>
      <c r="L250" s="22"/>
    </row>
    <row r="251" spans="1:12" ht="12.75">
      <c r="A251" s="22"/>
      <c r="B251" s="22"/>
      <c r="C251" s="22"/>
      <c r="D251" s="22"/>
      <c r="E251" s="22"/>
      <c r="F251" s="22"/>
      <c r="G251" s="1023"/>
      <c r="H251" s="22"/>
      <c r="I251" s="22"/>
      <c r="J251" s="529"/>
      <c r="K251" s="24"/>
      <c r="L251" s="22"/>
    </row>
    <row r="252" spans="1:12" ht="12.75">
      <c r="A252" s="22"/>
      <c r="B252" s="22"/>
      <c r="C252" s="22"/>
      <c r="D252" s="22"/>
      <c r="E252" s="22"/>
      <c r="F252" s="22"/>
      <c r="G252" s="1023"/>
      <c r="H252" s="22"/>
      <c r="I252" s="22"/>
      <c r="J252" s="529"/>
      <c r="K252" s="24"/>
      <c r="L252" s="22"/>
    </row>
    <row r="253" spans="1:12" ht="12.75">
      <c r="A253" s="22"/>
      <c r="B253" s="22"/>
      <c r="C253" s="22"/>
      <c r="D253" s="22"/>
      <c r="E253" s="22"/>
      <c r="F253" s="22"/>
      <c r="G253" s="1023"/>
      <c r="H253" s="22"/>
      <c r="I253" s="22"/>
      <c r="J253" s="529"/>
      <c r="K253" s="24"/>
      <c r="L253" s="22"/>
    </row>
    <row r="254" spans="1:12" ht="12.75">
      <c r="A254" s="22"/>
      <c r="B254" s="22"/>
      <c r="C254" s="22"/>
      <c r="D254" s="22"/>
      <c r="E254" s="22"/>
      <c r="F254" s="22"/>
      <c r="G254" s="1023"/>
      <c r="H254" s="22"/>
      <c r="I254" s="22"/>
      <c r="J254" s="529"/>
      <c r="K254" s="24"/>
      <c r="L254" s="22"/>
    </row>
    <row r="255" spans="1:12" ht="12.75">
      <c r="A255" s="22"/>
      <c r="B255" s="22"/>
      <c r="C255" s="22"/>
      <c r="D255" s="22"/>
      <c r="E255" s="22"/>
      <c r="F255" s="22"/>
      <c r="G255" s="1023"/>
      <c r="H255" s="22"/>
      <c r="I255" s="22"/>
      <c r="J255" s="529"/>
      <c r="K255" s="24"/>
      <c r="L255" s="22"/>
    </row>
    <row r="256" spans="1:12" ht="12.75">
      <c r="A256" s="22"/>
      <c r="B256" s="22"/>
      <c r="C256" s="22"/>
      <c r="D256" s="22"/>
      <c r="E256" s="22"/>
      <c r="F256" s="22"/>
      <c r="G256" s="1023"/>
      <c r="H256" s="22"/>
      <c r="I256" s="22"/>
      <c r="J256" s="529"/>
      <c r="K256" s="24"/>
      <c r="L256" s="22"/>
    </row>
    <row r="257" spans="1:12" ht="12.75">
      <c r="A257" s="22"/>
      <c r="B257" s="22"/>
      <c r="C257" s="22"/>
      <c r="D257" s="22"/>
      <c r="E257" s="22"/>
      <c r="F257" s="22"/>
      <c r="G257" s="1023"/>
      <c r="H257" s="22"/>
      <c r="I257" s="22"/>
      <c r="J257" s="529"/>
      <c r="K257" s="24"/>
      <c r="L257" s="22"/>
    </row>
    <row r="258" spans="1:12" ht="12.75">
      <c r="A258" s="22"/>
      <c r="B258" s="22"/>
      <c r="C258" s="22"/>
      <c r="D258" s="22"/>
      <c r="E258" s="22"/>
      <c r="F258" s="22"/>
      <c r="G258" s="1023"/>
      <c r="H258" s="22"/>
      <c r="I258" s="22"/>
      <c r="J258" s="529"/>
      <c r="K258" s="24"/>
      <c r="L258" s="22"/>
    </row>
    <row r="259" spans="1:12" ht="12.75">
      <c r="A259" s="22"/>
      <c r="B259" s="22"/>
      <c r="C259" s="22"/>
      <c r="D259" s="22"/>
      <c r="E259" s="22"/>
      <c r="F259" s="22"/>
      <c r="G259" s="1023"/>
      <c r="H259" s="22"/>
      <c r="I259" s="22"/>
      <c r="J259" s="529"/>
      <c r="K259" s="24"/>
      <c r="L259" s="22"/>
    </row>
    <row r="260" spans="1:12" ht="12.75">
      <c r="A260" s="22"/>
      <c r="B260" s="22"/>
      <c r="C260" s="22"/>
      <c r="D260" s="22"/>
      <c r="E260" s="22"/>
      <c r="F260" s="22"/>
      <c r="G260" s="1023"/>
      <c r="H260" s="22"/>
      <c r="I260" s="22"/>
      <c r="J260" s="529"/>
      <c r="K260" s="24"/>
      <c r="L260" s="22"/>
    </row>
    <row r="261" spans="1:12" ht="12.75">
      <c r="A261" s="22"/>
      <c r="B261" s="22"/>
      <c r="C261" s="22"/>
      <c r="D261" s="22"/>
      <c r="E261" s="22"/>
      <c r="F261" s="22"/>
      <c r="G261" s="1023"/>
      <c r="H261" s="22"/>
      <c r="I261" s="22"/>
      <c r="J261" s="529"/>
      <c r="K261" s="24"/>
      <c r="L261" s="22"/>
    </row>
    <row r="262" spans="1:12" ht="12.75">
      <c r="A262" s="22"/>
      <c r="B262" s="22"/>
      <c r="C262" s="22"/>
      <c r="D262" s="22"/>
      <c r="E262" s="22"/>
      <c r="F262" s="22"/>
      <c r="G262" s="1023"/>
      <c r="H262" s="22"/>
      <c r="I262" s="22"/>
      <c r="J262" s="529"/>
      <c r="K262" s="24"/>
      <c r="L262" s="22"/>
    </row>
    <row r="263" spans="1:12" ht="12.75">
      <c r="A263" s="22"/>
      <c r="B263" s="22"/>
      <c r="C263" s="22"/>
      <c r="D263" s="22"/>
      <c r="E263" s="22"/>
      <c r="F263" s="22"/>
      <c r="G263" s="1023"/>
      <c r="H263" s="22"/>
      <c r="I263" s="22"/>
      <c r="J263" s="529"/>
      <c r="K263" s="24"/>
      <c r="L263" s="22"/>
    </row>
    <row r="264" spans="1:12" ht="12.75">
      <c r="A264" s="22"/>
      <c r="B264" s="22"/>
      <c r="C264" s="22"/>
      <c r="D264" s="22"/>
      <c r="E264" s="22"/>
      <c r="F264" s="22"/>
      <c r="G264" s="1023"/>
      <c r="H264" s="22"/>
      <c r="I264" s="22"/>
      <c r="J264" s="529"/>
      <c r="K264" s="24"/>
      <c r="L264" s="22"/>
    </row>
    <row r="265" spans="1:12" ht="12.75">
      <c r="A265" s="22"/>
      <c r="B265" s="22"/>
      <c r="C265" s="22"/>
      <c r="D265" s="22"/>
      <c r="E265" s="22"/>
      <c r="F265" s="22"/>
      <c r="G265" s="1023"/>
      <c r="H265" s="22"/>
      <c r="I265" s="22"/>
      <c r="J265" s="529"/>
      <c r="K265" s="24"/>
      <c r="L265" s="22"/>
    </row>
    <row r="266" spans="1:12" ht="12.75">
      <c r="A266" s="22"/>
      <c r="B266" s="22"/>
      <c r="C266" s="22"/>
      <c r="D266" s="22"/>
      <c r="E266" s="22"/>
      <c r="F266" s="22"/>
      <c r="G266" s="1023"/>
      <c r="H266" s="22"/>
      <c r="I266" s="22"/>
      <c r="J266" s="529"/>
      <c r="K266" s="24"/>
      <c r="L266" s="22"/>
    </row>
    <row r="267" spans="1:12" ht="12.75">
      <c r="A267" s="22"/>
      <c r="B267" s="22"/>
      <c r="C267" s="22"/>
      <c r="D267" s="22"/>
      <c r="E267" s="22"/>
      <c r="F267" s="22"/>
      <c r="G267" s="1023"/>
      <c r="H267" s="22"/>
      <c r="I267" s="22"/>
      <c r="J267" s="529"/>
      <c r="K267" s="24"/>
      <c r="L267" s="22"/>
    </row>
    <row r="268" spans="1:12" ht="12.75">
      <c r="A268" s="22"/>
      <c r="B268" s="22"/>
      <c r="C268" s="22"/>
      <c r="D268" s="22"/>
      <c r="E268" s="22"/>
      <c r="F268" s="22"/>
      <c r="G268" s="1023"/>
      <c r="H268" s="22"/>
      <c r="I268" s="22"/>
      <c r="J268" s="529"/>
      <c r="K268" s="24"/>
      <c r="L268" s="22"/>
    </row>
    <row r="269" spans="1:12" ht="12.75">
      <c r="A269" s="22"/>
      <c r="B269" s="22"/>
      <c r="C269" s="22"/>
      <c r="D269" s="22"/>
      <c r="E269" s="22"/>
      <c r="F269" s="22"/>
      <c r="G269" s="1023"/>
      <c r="H269" s="22"/>
      <c r="I269" s="22"/>
      <c r="J269" s="529"/>
      <c r="K269" s="24"/>
      <c r="L269" s="22"/>
    </row>
    <row r="270" spans="1:12" ht="12.75">
      <c r="A270" s="22"/>
      <c r="B270" s="22"/>
      <c r="C270" s="22"/>
      <c r="D270" s="22"/>
      <c r="E270" s="22"/>
      <c r="F270" s="22"/>
      <c r="G270" s="1023"/>
      <c r="H270" s="22"/>
      <c r="I270" s="22"/>
      <c r="J270" s="529"/>
      <c r="K270" s="24"/>
      <c r="L270" s="22"/>
    </row>
    <row r="271" spans="1:12" ht="12.75">
      <c r="A271" s="22"/>
      <c r="B271" s="22"/>
      <c r="C271" s="22"/>
      <c r="D271" s="22"/>
      <c r="E271" s="22"/>
      <c r="F271" s="22"/>
      <c r="G271" s="1023"/>
      <c r="H271" s="22"/>
      <c r="I271" s="22"/>
      <c r="J271" s="529"/>
      <c r="K271" s="24"/>
      <c r="L271" s="22"/>
    </row>
    <row r="272" spans="1:12" ht="12.75">
      <c r="A272" s="22"/>
      <c r="B272" s="22"/>
      <c r="C272" s="22"/>
      <c r="D272" s="22"/>
      <c r="E272" s="22"/>
      <c r="F272" s="22"/>
      <c r="G272" s="1023"/>
      <c r="H272" s="22"/>
      <c r="I272" s="22"/>
      <c r="J272" s="529"/>
      <c r="K272" s="24"/>
      <c r="L272" s="22"/>
    </row>
    <row r="273" spans="1:12" ht="12.75">
      <c r="A273" s="22"/>
      <c r="B273" s="22"/>
      <c r="C273" s="22"/>
      <c r="D273" s="22"/>
      <c r="E273" s="22"/>
      <c r="F273" s="22"/>
      <c r="G273" s="1023"/>
      <c r="H273" s="22"/>
      <c r="I273" s="22"/>
      <c r="J273" s="529"/>
      <c r="K273" s="24"/>
      <c r="L273" s="22"/>
    </row>
    <row r="274" spans="1:12" ht="12.75">
      <c r="A274" s="22"/>
      <c r="B274" s="22"/>
      <c r="C274" s="22"/>
      <c r="D274" s="22"/>
      <c r="E274" s="22"/>
      <c r="F274" s="22"/>
      <c r="G274" s="1023"/>
      <c r="H274" s="22"/>
      <c r="I274" s="22"/>
      <c r="J274" s="529"/>
      <c r="K274" s="24"/>
      <c r="L274" s="22"/>
    </row>
    <row r="275" spans="1:12" ht="12.75">
      <c r="A275" s="22"/>
      <c r="B275" s="22"/>
      <c r="C275" s="22"/>
      <c r="D275" s="22"/>
      <c r="E275" s="22"/>
      <c r="F275" s="22"/>
      <c r="G275" s="1023"/>
      <c r="H275" s="22"/>
      <c r="I275" s="22"/>
      <c r="J275" s="529"/>
      <c r="K275" s="24"/>
      <c r="L275" s="22"/>
    </row>
    <row r="276" spans="1:12" ht="12.75">
      <c r="A276" s="22"/>
      <c r="B276" s="22"/>
      <c r="C276" s="22"/>
      <c r="D276" s="22"/>
      <c r="E276" s="22"/>
      <c r="F276" s="22"/>
      <c r="G276" s="1023"/>
      <c r="H276" s="22"/>
      <c r="I276" s="22"/>
      <c r="J276" s="529"/>
      <c r="K276" s="24"/>
      <c r="L276" s="22"/>
    </row>
    <row r="277" spans="1:12" ht="12.75">
      <c r="A277" s="22"/>
      <c r="B277" s="22"/>
      <c r="C277" s="22"/>
      <c r="D277" s="22"/>
      <c r="E277" s="22"/>
      <c r="F277" s="22"/>
      <c r="G277" s="1023"/>
      <c r="H277" s="22"/>
      <c r="I277" s="22"/>
      <c r="J277" s="529"/>
      <c r="K277" s="24"/>
      <c r="L277" s="22"/>
    </row>
    <row r="278" spans="1:12" ht="12.75">
      <c r="A278" s="22"/>
      <c r="B278" s="22"/>
      <c r="C278" s="22"/>
      <c r="D278" s="22"/>
      <c r="E278" s="22"/>
      <c r="F278" s="22"/>
      <c r="G278" s="1023"/>
      <c r="H278" s="22"/>
      <c r="I278" s="22"/>
      <c r="J278" s="529"/>
      <c r="K278" s="24"/>
      <c r="L278" s="22"/>
    </row>
    <row r="279" spans="1:12" ht="12.75">
      <c r="A279" s="22"/>
      <c r="B279" s="22"/>
      <c r="C279" s="22"/>
      <c r="D279" s="22"/>
      <c r="E279" s="22"/>
      <c r="F279" s="22"/>
      <c r="G279" s="1023"/>
      <c r="H279" s="22"/>
      <c r="I279" s="22"/>
      <c r="J279" s="529"/>
      <c r="K279" s="24"/>
      <c r="L279" s="22"/>
    </row>
    <row r="280" spans="1:12" ht="12.75">
      <c r="A280" s="22"/>
      <c r="B280" s="22"/>
      <c r="C280" s="22"/>
      <c r="D280" s="22"/>
      <c r="E280" s="22"/>
      <c r="F280" s="22"/>
      <c r="G280" s="1023"/>
      <c r="H280" s="22"/>
      <c r="I280" s="22"/>
      <c r="J280" s="529"/>
      <c r="K280" s="24"/>
      <c r="L280" s="22"/>
    </row>
    <row r="281" spans="1:12" ht="12.75">
      <c r="A281" s="22"/>
      <c r="B281" s="22"/>
      <c r="C281" s="22"/>
      <c r="D281" s="22"/>
      <c r="E281" s="22"/>
      <c r="F281" s="22"/>
      <c r="G281" s="1023"/>
      <c r="H281" s="22"/>
      <c r="I281" s="22"/>
      <c r="J281" s="529"/>
      <c r="K281" s="24"/>
      <c r="L281" s="22"/>
    </row>
    <row r="282" spans="1:12" ht="12.75">
      <c r="A282" s="22"/>
      <c r="B282" s="22"/>
      <c r="C282" s="22"/>
      <c r="D282" s="22"/>
      <c r="E282" s="22"/>
      <c r="F282" s="22"/>
      <c r="G282" s="1023"/>
      <c r="H282" s="22"/>
      <c r="I282" s="22"/>
      <c r="J282" s="529"/>
      <c r="K282" s="24"/>
      <c r="L282" s="22"/>
    </row>
    <row r="283" spans="1:12" ht="12.75">
      <c r="A283" s="22"/>
      <c r="B283" s="22"/>
      <c r="C283" s="22"/>
      <c r="D283" s="22"/>
      <c r="E283" s="22"/>
      <c r="F283" s="22"/>
      <c r="G283" s="1023"/>
      <c r="H283" s="22"/>
      <c r="I283" s="22"/>
      <c r="J283" s="529"/>
      <c r="K283" s="24"/>
      <c r="L283" s="22"/>
    </row>
    <row r="284" spans="1:12" ht="12.75">
      <c r="A284" s="22"/>
      <c r="B284" s="22"/>
      <c r="C284" s="22"/>
      <c r="D284" s="22"/>
      <c r="E284" s="22"/>
      <c r="F284" s="22"/>
      <c r="G284" s="1023"/>
      <c r="H284" s="22"/>
      <c r="I284" s="22"/>
      <c r="J284" s="529"/>
      <c r="K284" s="24"/>
      <c r="L284" s="22"/>
    </row>
    <row r="285" spans="1:12" ht="12.75">
      <c r="A285" s="22"/>
      <c r="B285" s="22"/>
      <c r="C285" s="22"/>
      <c r="D285" s="22"/>
      <c r="E285" s="22"/>
      <c r="F285" s="22"/>
      <c r="G285" s="1023"/>
      <c r="H285" s="22"/>
      <c r="I285" s="22"/>
      <c r="J285" s="529"/>
      <c r="K285" s="24"/>
      <c r="L285" s="22"/>
    </row>
    <row r="286" spans="1:12" ht="12.75">
      <c r="A286" s="22"/>
      <c r="B286" s="22"/>
      <c r="C286" s="22"/>
      <c r="D286" s="22"/>
      <c r="E286" s="22"/>
      <c r="F286" s="22"/>
      <c r="G286" s="1023"/>
      <c r="H286" s="22"/>
      <c r="I286" s="22"/>
      <c r="J286" s="529"/>
      <c r="K286" s="24"/>
      <c r="L286" s="22"/>
    </row>
    <row r="287" spans="1:12" ht="12.75">
      <c r="A287" s="22"/>
      <c r="B287" s="22"/>
      <c r="C287" s="22"/>
      <c r="D287" s="22"/>
      <c r="E287" s="22"/>
      <c r="F287" s="22"/>
      <c r="G287" s="1023"/>
      <c r="H287" s="22"/>
      <c r="I287" s="22"/>
      <c r="J287" s="529"/>
      <c r="K287" s="24"/>
      <c r="L287" s="22"/>
    </row>
    <row r="288" spans="1:12" ht="12.75">
      <c r="A288" s="22"/>
      <c r="B288" s="22"/>
      <c r="C288" s="22"/>
      <c r="D288" s="22"/>
      <c r="E288" s="22"/>
      <c r="F288" s="22"/>
      <c r="G288" s="1023"/>
      <c r="H288" s="22"/>
      <c r="I288" s="22"/>
      <c r="J288" s="529"/>
      <c r="K288" s="24"/>
      <c r="L288" s="22"/>
    </row>
    <row r="289" spans="1:12" ht="12.75">
      <c r="A289" s="22"/>
      <c r="B289" s="22"/>
      <c r="C289" s="22"/>
      <c r="D289" s="22"/>
      <c r="E289" s="22"/>
      <c r="F289" s="22"/>
      <c r="G289" s="1023"/>
      <c r="H289" s="22"/>
      <c r="I289" s="22"/>
      <c r="J289" s="529"/>
      <c r="K289" s="24"/>
      <c r="L289" s="22"/>
    </row>
    <row r="290" spans="1:12" ht="12.75">
      <c r="A290" s="22"/>
      <c r="B290" s="22"/>
      <c r="C290" s="22"/>
      <c r="D290" s="22"/>
      <c r="E290" s="22"/>
      <c r="F290" s="22"/>
      <c r="G290" s="1023"/>
      <c r="H290" s="22"/>
      <c r="I290" s="22"/>
      <c r="J290" s="529"/>
      <c r="K290" s="24"/>
      <c r="L290" s="22"/>
    </row>
    <row r="291" spans="1:12" ht="12.75">
      <c r="A291" s="22"/>
      <c r="B291" s="22"/>
      <c r="C291" s="22"/>
      <c r="D291" s="22"/>
      <c r="E291" s="22"/>
      <c r="F291" s="22"/>
      <c r="G291" s="1023"/>
      <c r="H291" s="22"/>
      <c r="I291" s="22"/>
      <c r="J291" s="529"/>
      <c r="K291" s="24"/>
      <c r="L291" s="22"/>
    </row>
    <row r="292" spans="1:12" ht="12.75">
      <c r="A292" s="22"/>
      <c r="B292" s="22"/>
      <c r="C292" s="22"/>
      <c r="D292" s="22"/>
      <c r="E292" s="22"/>
      <c r="F292" s="22"/>
      <c r="G292" s="1023"/>
      <c r="H292" s="22"/>
      <c r="I292" s="22"/>
      <c r="J292" s="529"/>
      <c r="K292" s="24"/>
      <c r="L292" s="22"/>
    </row>
    <row r="293" spans="1:12" ht="12.75">
      <c r="A293" s="22"/>
      <c r="B293" s="22"/>
      <c r="C293" s="22"/>
      <c r="D293" s="22"/>
      <c r="E293" s="22"/>
      <c r="F293" s="22"/>
      <c r="G293" s="1023"/>
      <c r="H293" s="22"/>
      <c r="I293" s="22"/>
      <c r="J293" s="529"/>
      <c r="K293" s="24"/>
      <c r="L293" s="22"/>
    </row>
    <row r="294" spans="1:12" ht="12.75">
      <c r="A294" s="22"/>
      <c r="B294" s="22"/>
      <c r="C294" s="22"/>
      <c r="D294" s="22"/>
      <c r="E294" s="22"/>
      <c r="F294" s="22"/>
      <c r="G294" s="1023"/>
      <c r="H294" s="22"/>
      <c r="I294" s="22"/>
      <c r="J294" s="529"/>
      <c r="K294" s="24"/>
      <c r="L294" s="22"/>
    </row>
    <row r="295" spans="1:12" ht="12.75">
      <c r="A295" s="22"/>
      <c r="B295" s="22"/>
      <c r="C295" s="22"/>
      <c r="D295" s="22"/>
      <c r="E295" s="22"/>
      <c r="F295" s="22"/>
      <c r="G295" s="1023"/>
      <c r="H295" s="22"/>
      <c r="I295" s="22"/>
      <c r="J295" s="529"/>
      <c r="K295" s="24"/>
      <c r="L295" s="22"/>
    </row>
    <row r="296" spans="1:12" ht="12.75">
      <c r="A296" s="22"/>
      <c r="B296" s="22"/>
      <c r="C296" s="22"/>
      <c r="D296" s="22"/>
      <c r="E296" s="22"/>
      <c r="F296" s="22"/>
      <c r="G296" s="1023"/>
      <c r="H296" s="22"/>
      <c r="I296" s="22"/>
      <c r="J296" s="529"/>
      <c r="K296" s="24"/>
      <c r="L296" s="22"/>
    </row>
    <row r="297" spans="1:12" ht="12.75">
      <c r="A297" s="22"/>
      <c r="B297" s="22"/>
      <c r="C297" s="22"/>
      <c r="D297" s="22"/>
      <c r="E297" s="22"/>
      <c r="F297" s="22"/>
      <c r="G297" s="1023"/>
      <c r="H297" s="22"/>
      <c r="I297" s="22"/>
      <c r="J297" s="529"/>
      <c r="K297" s="24"/>
      <c r="L297" s="22"/>
    </row>
    <row r="298" spans="1:12" ht="12.75">
      <c r="A298" s="22"/>
      <c r="B298" s="22"/>
      <c r="C298" s="22"/>
      <c r="D298" s="22"/>
      <c r="E298" s="22"/>
      <c r="F298" s="22"/>
      <c r="G298" s="1023"/>
      <c r="H298" s="22"/>
      <c r="I298" s="22"/>
      <c r="J298" s="529"/>
      <c r="K298" s="24"/>
      <c r="L298" s="22"/>
    </row>
    <row r="299" spans="1:12" ht="12.75">
      <c r="A299" s="22"/>
      <c r="B299" s="22"/>
      <c r="C299" s="22"/>
      <c r="D299" s="22"/>
      <c r="E299" s="22"/>
      <c r="F299" s="22"/>
      <c r="G299" s="1023"/>
      <c r="H299" s="22"/>
      <c r="I299" s="22"/>
      <c r="J299" s="529"/>
      <c r="K299" s="24"/>
      <c r="L299" s="22"/>
    </row>
    <row r="300" spans="1:12" ht="12.75">
      <c r="A300" s="22"/>
      <c r="B300" s="22"/>
      <c r="C300" s="22"/>
      <c r="D300" s="22"/>
      <c r="E300" s="22"/>
      <c r="F300" s="22"/>
      <c r="G300" s="1023"/>
      <c r="H300" s="22"/>
      <c r="I300" s="22"/>
      <c r="J300" s="529"/>
      <c r="K300" s="24"/>
      <c r="L300" s="22"/>
    </row>
    <row r="301" spans="1:12" ht="12.75">
      <c r="A301" s="22"/>
      <c r="B301" s="22"/>
      <c r="C301" s="22"/>
      <c r="D301" s="22"/>
      <c r="E301" s="22"/>
      <c r="F301" s="22"/>
      <c r="G301" s="1023"/>
      <c r="H301" s="22"/>
      <c r="I301" s="22"/>
      <c r="J301" s="529"/>
      <c r="K301" s="24"/>
      <c r="L301" s="22"/>
    </row>
    <row r="302" spans="1:12" ht="12.75">
      <c r="A302" s="22"/>
      <c r="B302" s="22"/>
      <c r="C302" s="22"/>
      <c r="D302" s="22"/>
      <c r="E302" s="22"/>
      <c r="F302" s="22"/>
      <c r="G302" s="1023"/>
      <c r="H302" s="22"/>
      <c r="I302" s="22"/>
      <c r="J302" s="529"/>
      <c r="K302" s="24"/>
      <c r="L302" s="22"/>
    </row>
    <row r="303" spans="1:12" ht="12.75">
      <c r="A303" s="22"/>
      <c r="B303" s="22"/>
      <c r="C303" s="22"/>
      <c r="D303" s="22"/>
      <c r="E303" s="22"/>
      <c r="F303" s="22"/>
      <c r="G303" s="1023"/>
      <c r="H303" s="22"/>
      <c r="I303" s="22"/>
      <c r="J303" s="529"/>
      <c r="K303" s="24"/>
      <c r="L303" s="22"/>
    </row>
    <row r="304" spans="1:12" ht="12.75">
      <c r="A304" s="22"/>
      <c r="B304" s="22"/>
      <c r="C304" s="22"/>
      <c r="D304" s="22"/>
      <c r="E304" s="22"/>
      <c r="F304" s="22"/>
      <c r="G304" s="1023"/>
      <c r="H304" s="22"/>
      <c r="I304" s="22"/>
      <c r="J304" s="529"/>
      <c r="K304" s="24"/>
      <c r="L304" s="22"/>
    </row>
    <row r="305" spans="1:12" ht="12.75">
      <c r="A305" s="22"/>
      <c r="B305" s="22"/>
      <c r="C305" s="22"/>
      <c r="D305" s="22"/>
      <c r="E305" s="22"/>
      <c r="F305" s="22"/>
      <c r="G305" s="1023"/>
      <c r="H305" s="22"/>
      <c r="I305" s="22"/>
      <c r="J305" s="529"/>
      <c r="K305" s="24"/>
      <c r="L305" s="22"/>
    </row>
    <row r="306" spans="1:12" ht="12.75">
      <c r="A306" s="22"/>
      <c r="B306" s="22"/>
      <c r="C306" s="22"/>
      <c r="D306" s="22"/>
      <c r="E306" s="22"/>
      <c r="F306" s="22"/>
      <c r="G306" s="1023"/>
      <c r="H306" s="22"/>
      <c r="I306" s="22"/>
      <c r="J306" s="529"/>
      <c r="K306" s="24"/>
      <c r="L306" s="22"/>
    </row>
    <row r="307" spans="1:12" ht="12.75">
      <c r="A307" s="22"/>
      <c r="B307" s="22"/>
      <c r="C307" s="22"/>
      <c r="D307" s="22"/>
      <c r="E307" s="22"/>
      <c r="F307" s="22"/>
      <c r="G307" s="1023"/>
      <c r="H307" s="22"/>
      <c r="I307" s="22"/>
      <c r="J307" s="529"/>
      <c r="K307" s="24"/>
      <c r="L307" s="22"/>
    </row>
    <row r="308" spans="1:12" ht="12.75">
      <c r="A308" s="22"/>
      <c r="B308" s="22"/>
      <c r="C308" s="22"/>
      <c r="D308" s="22"/>
      <c r="E308" s="22"/>
      <c r="F308" s="22"/>
      <c r="G308" s="1023"/>
      <c r="H308" s="22"/>
      <c r="I308" s="22"/>
      <c r="J308" s="529"/>
      <c r="K308" s="24"/>
      <c r="L308" s="22"/>
    </row>
    <row r="309" spans="1:12" ht="12.75">
      <c r="A309" s="22"/>
      <c r="B309" s="22"/>
      <c r="C309" s="22"/>
      <c r="D309" s="22"/>
      <c r="E309" s="22"/>
      <c r="F309" s="22"/>
      <c r="G309" s="1023"/>
      <c r="H309" s="22"/>
      <c r="I309" s="22"/>
      <c r="J309" s="529"/>
      <c r="K309" s="24"/>
      <c r="L309" s="22"/>
    </row>
    <row r="310" spans="1:12" ht="12.75">
      <c r="A310" s="22"/>
      <c r="B310" s="22"/>
      <c r="C310" s="22"/>
      <c r="D310" s="22"/>
      <c r="E310" s="22"/>
      <c r="F310" s="22"/>
      <c r="G310" s="1023"/>
      <c r="H310" s="22"/>
      <c r="I310" s="22"/>
      <c r="J310" s="529"/>
      <c r="K310" s="24"/>
      <c r="L310" s="22"/>
    </row>
    <row r="311" spans="1:12" ht="12.75">
      <c r="A311" s="22"/>
      <c r="B311" s="22"/>
      <c r="C311" s="22"/>
      <c r="D311" s="22"/>
      <c r="E311" s="22"/>
      <c r="F311" s="22"/>
      <c r="G311" s="1023"/>
      <c r="H311" s="22"/>
      <c r="I311" s="22"/>
      <c r="J311" s="529"/>
      <c r="K311" s="24"/>
      <c r="L311" s="22"/>
    </row>
    <row r="312" spans="1:12" ht="12.75">
      <c r="A312" s="22"/>
      <c r="B312" s="22"/>
      <c r="C312" s="22"/>
      <c r="D312" s="22"/>
      <c r="E312" s="22"/>
      <c r="F312" s="22"/>
      <c r="G312" s="1023"/>
      <c r="H312" s="22"/>
      <c r="I312" s="22"/>
      <c r="J312" s="529"/>
      <c r="K312" s="24"/>
      <c r="L312" s="22"/>
    </row>
    <row r="313" spans="1:12" ht="12.75">
      <c r="A313" s="22"/>
      <c r="B313" s="22"/>
      <c r="C313" s="22"/>
      <c r="D313" s="22"/>
      <c r="E313" s="22"/>
      <c r="F313" s="22"/>
      <c r="G313" s="1023"/>
      <c r="H313" s="22"/>
      <c r="I313" s="22"/>
      <c r="J313" s="529"/>
      <c r="K313" s="24"/>
      <c r="L313" s="22"/>
    </row>
    <row r="314" spans="1:12" ht="12.75">
      <c r="A314" s="22"/>
      <c r="B314" s="22"/>
      <c r="C314" s="22"/>
      <c r="D314" s="22"/>
      <c r="E314" s="22"/>
      <c r="F314" s="22"/>
      <c r="G314" s="1023"/>
      <c r="H314" s="22"/>
      <c r="I314" s="22"/>
      <c r="J314" s="529"/>
      <c r="K314" s="24"/>
      <c r="L314" s="22"/>
    </row>
    <row r="315" spans="1:12" ht="12.75">
      <c r="A315" s="22"/>
      <c r="B315" s="22"/>
      <c r="C315" s="22"/>
      <c r="D315" s="22"/>
      <c r="E315" s="22"/>
      <c r="F315" s="22"/>
      <c r="G315" s="1023"/>
      <c r="H315" s="22"/>
      <c r="I315" s="22"/>
      <c r="J315" s="529"/>
      <c r="K315" s="24"/>
      <c r="L315" s="22"/>
    </row>
    <row r="316" spans="1:12" ht="12.75">
      <c r="A316" s="22"/>
      <c r="B316" s="22"/>
      <c r="C316" s="22"/>
      <c r="D316" s="22"/>
      <c r="E316" s="22"/>
      <c r="F316" s="22"/>
      <c r="G316" s="1023"/>
      <c r="H316" s="22"/>
      <c r="I316" s="22"/>
      <c r="J316" s="529"/>
      <c r="K316" s="24"/>
      <c r="L316" s="22"/>
    </row>
    <row r="317" spans="1:12" ht="12.75">
      <c r="A317" s="22"/>
      <c r="B317" s="22"/>
      <c r="C317" s="22"/>
      <c r="D317" s="22"/>
      <c r="E317" s="22"/>
      <c r="F317" s="22"/>
      <c r="G317" s="1023"/>
      <c r="H317" s="22"/>
      <c r="I317" s="22"/>
      <c r="J317" s="529"/>
      <c r="K317" s="24"/>
      <c r="L317" s="22"/>
    </row>
    <row r="318" spans="1:12" ht="12.75">
      <c r="A318" s="22"/>
      <c r="B318" s="22"/>
      <c r="C318" s="22"/>
      <c r="D318" s="22"/>
      <c r="E318" s="22"/>
      <c r="F318" s="22"/>
      <c r="G318" s="1023"/>
      <c r="H318" s="22"/>
      <c r="I318" s="22"/>
      <c r="J318" s="529"/>
      <c r="K318" s="24"/>
      <c r="L318" s="22"/>
    </row>
    <row r="319" spans="1:12" ht="12.75">
      <c r="A319" s="22"/>
      <c r="B319" s="22"/>
      <c r="C319" s="22"/>
      <c r="D319" s="22"/>
      <c r="E319" s="22"/>
      <c r="F319" s="22"/>
      <c r="G319" s="1023"/>
      <c r="H319" s="22"/>
      <c r="I319" s="22"/>
      <c r="J319" s="529"/>
      <c r="K319" s="24"/>
      <c r="L319" s="22"/>
    </row>
    <row r="320" spans="1:12" ht="12.75">
      <c r="A320" s="22"/>
      <c r="B320" s="22"/>
      <c r="C320" s="22"/>
      <c r="D320" s="22"/>
      <c r="E320" s="22"/>
      <c r="F320" s="22"/>
      <c r="G320" s="1023"/>
      <c r="H320" s="22"/>
      <c r="I320" s="22"/>
      <c r="J320" s="529"/>
      <c r="K320" s="24"/>
      <c r="L320" s="22"/>
    </row>
    <row r="321" spans="1:12" ht="12.75">
      <c r="A321" s="22"/>
      <c r="B321" s="22"/>
      <c r="C321" s="22"/>
      <c r="D321" s="22"/>
      <c r="E321" s="22"/>
      <c r="F321" s="22"/>
      <c r="G321" s="1023"/>
      <c r="H321" s="22"/>
      <c r="I321" s="22"/>
      <c r="J321" s="529"/>
      <c r="K321" s="24"/>
      <c r="L321" s="22"/>
    </row>
    <row r="322" spans="1:12" ht="12.75">
      <c r="A322" s="22"/>
      <c r="B322" s="22"/>
      <c r="C322" s="22"/>
      <c r="D322" s="22"/>
      <c r="E322" s="22"/>
      <c r="F322" s="22"/>
      <c r="G322" s="1023"/>
      <c r="H322" s="22"/>
      <c r="I322" s="22"/>
      <c r="J322" s="529"/>
      <c r="K322" s="24"/>
      <c r="L322" s="22"/>
    </row>
    <row r="323" spans="1:12" ht="12.75">
      <c r="A323" s="22"/>
      <c r="B323" s="22"/>
      <c r="C323" s="22"/>
      <c r="D323" s="22"/>
      <c r="E323" s="22"/>
      <c r="F323" s="22"/>
      <c r="G323" s="1023"/>
      <c r="H323" s="22"/>
      <c r="I323" s="22"/>
      <c r="J323" s="529"/>
      <c r="K323" s="24"/>
      <c r="L323" s="22"/>
    </row>
    <row r="324" spans="1:12" ht="12.75">
      <c r="A324" s="22"/>
      <c r="B324" s="22"/>
      <c r="C324" s="22"/>
      <c r="D324" s="22"/>
      <c r="E324" s="22"/>
      <c r="F324" s="22"/>
      <c r="G324" s="1023"/>
      <c r="H324" s="22"/>
      <c r="I324" s="22"/>
      <c r="J324" s="529"/>
      <c r="K324" s="24"/>
      <c r="L324" s="22"/>
    </row>
    <row r="325" spans="1:12" ht="12.75">
      <c r="A325" s="22"/>
      <c r="B325" s="22"/>
      <c r="C325" s="22"/>
      <c r="D325" s="22"/>
      <c r="E325" s="22"/>
      <c r="F325" s="22"/>
      <c r="G325" s="1023"/>
      <c r="H325" s="22"/>
      <c r="I325" s="22"/>
      <c r="J325" s="529"/>
      <c r="K325" s="24"/>
      <c r="L325" s="22"/>
    </row>
    <row r="326" spans="1:12" ht="12.75">
      <c r="A326" s="22"/>
      <c r="B326" s="22"/>
      <c r="C326" s="22"/>
      <c r="D326" s="22"/>
      <c r="E326" s="22"/>
      <c r="F326" s="22"/>
      <c r="G326" s="1023"/>
      <c r="H326" s="22"/>
      <c r="I326" s="22"/>
      <c r="J326" s="529"/>
      <c r="K326" s="24"/>
      <c r="L326" s="22"/>
    </row>
    <row r="327" spans="1:12" ht="12.75">
      <c r="A327" s="22"/>
      <c r="B327" s="22"/>
      <c r="C327" s="22"/>
      <c r="D327" s="22"/>
      <c r="E327" s="22"/>
      <c r="F327" s="22"/>
      <c r="G327" s="1023"/>
      <c r="H327" s="22"/>
      <c r="I327" s="22"/>
      <c r="J327" s="529"/>
      <c r="K327" s="24"/>
      <c r="L327" s="22"/>
    </row>
    <row r="328" spans="1:12" ht="12.75">
      <c r="A328" s="22"/>
      <c r="B328" s="22"/>
      <c r="C328" s="22"/>
      <c r="D328" s="22"/>
      <c r="E328" s="22"/>
      <c r="F328" s="22"/>
      <c r="G328" s="1023"/>
      <c r="H328" s="22"/>
      <c r="I328" s="22"/>
      <c r="J328" s="529"/>
      <c r="K328" s="24"/>
      <c r="L328" s="22"/>
    </row>
    <row r="329" spans="1:12" ht="12.75">
      <c r="A329" s="22"/>
      <c r="B329" s="22"/>
      <c r="C329" s="22"/>
      <c r="D329" s="22"/>
      <c r="E329" s="22"/>
      <c r="F329" s="22"/>
      <c r="G329" s="1023"/>
      <c r="H329" s="22"/>
      <c r="I329" s="22"/>
      <c r="J329" s="529"/>
      <c r="K329" s="24"/>
      <c r="L329" s="22"/>
    </row>
    <row r="330" spans="1:12" ht="12.75">
      <c r="A330" s="22"/>
      <c r="B330" s="22"/>
      <c r="C330" s="22"/>
      <c r="D330" s="22"/>
      <c r="E330" s="22"/>
      <c r="F330" s="22"/>
      <c r="G330" s="1023"/>
      <c r="H330" s="22"/>
      <c r="I330" s="22"/>
      <c r="J330" s="529"/>
      <c r="K330" s="24"/>
      <c r="L330" s="22"/>
    </row>
    <row r="331" spans="1:12" ht="12.75">
      <c r="A331" s="22"/>
      <c r="B331" s="22"/>
      <c r="C331" s="22"/>
      <c r="D331" s="22"/>
      <c r="E331" s="22"/>
      <c r="F331" s="22"/>
      <c r="G331" s="1023"/>
      <c r="H331" s="22"/>
      <c r="I331" s="22"/>
      <c r="J331" s="529"/>
      <c r="K331" s="24"/>
      <c r="L331" s="22"/>
    </row>
    <row r="332" spans="1:12" ht="12.75">
      <c r="A332" s="22"/>
      <c r="B332" s="22"/>
      <c r="C332" s="22"/>
      <c r="D332" s="22"/>
      <c r="E332" s="22"/>
      <c r="F332" s="22"/>
      <c r="G332" s="1023"/>
      <c r="H332" s="22"/>
      <c r="I332" s="22"/>
      <c r="J332" s="529"/>
      <c r="K332" s="24"/>
      <c r="L332" s="22"/>
    </row>
    <row r="333" spans="1:12" ht="12.75">
      <c r="A333" s="22"/>
      <c r="B333" s="22"/>
      <c r="C333" s="22"/>
      <c r="D333" s="22"/>
      <c r="E333" s="22"/>
      <c r="F333" s="22"/>
      <c r="G333" s="1023"/>
      <c r="H333" s="22"/>
      <c r="I333" s="22"/>
      <c r="J333" s="529"/>
      <c r="K333" s="24"/>
      <c r="L333" s="22"/>
    </row>
    <row r="334" spans="1:12" ht="12.75">
      <c r="A334" s="22"/>
      <c r="B334" s="22"/>
      <c r="C334" s="22"/>
      <c r="D334" s="22"/>
      <c r="E334" s="22"/>
      <c r="F334" s="22"/>
      <c r="G334" s="1023"/>
      <c r="H334" s="22"/>
      <c r="I334" s="22"/>
      <c r="J334" s="529"/>
      <c r="K334" s="24"/>
      <c r="L334" s="22"/>
    </row>
    <row r="335" spans="1:12" ht="12.75">
      <c r="A335" s="22"/>
      <c r="B335" s="22"/>
      <c r="C335" s="22"/>
      <c r="D335" s="22"/>
      <c r="E335" s="22"/>
      <c r="F335" s="22"/>
      <c r="G335" s="1023"/>
      <c r="H335" s="22"/>
      <c r="I335" s="22"/>
      <c r="J335" s="529"/>
      <c r="K335" s="24"/>
      <c r="L335" s="22"/>
    </row>
    <row r="336" spans="1:12" ht="12.75">
      <c r="A336" s="22"/>
      <c r="B336" s="22"/>
      <c r="C336" s="22"/>
      <c r="D336" s="22"/>
      <c r="E336" s="22"/>
      <c r="F336" s="22"/>
      <c r="G336" s="1023"/>
      <c r="H336" s="22"/>
      <c r="I336" s="22"/>
      <c r="J336" s="529"/>
      <c r="K336" s="24"/>
      <c r="L336" s="22"/>
    </row>
    <row r="337" spans="1:12" ht="12.75">
      <c r="A337" s="22"/>
      <c r="B337" s="22"/>
      <c r="C337" s="22"/>
      <c r="D337" s="22"/>
      <c r="E337" s="22"/>
      <c r="F337" s="22"/>
      <c r="G337" s="1023"/>
      <c r="H337" s="22"/>
      <c r="I337" s="22"/>
      <c r="J337" s="529"/>
      <c r="K337" s="24"/>
      <c r="L337" s="22"/>
    </row>
    <row r="338" spans="1:12" ht="12.75">
      <c r="A338" s="22"/>
      <c r="B338" s="22"/>
      <c r="C338" s="22"/>
      <c r="D338" s="22"/>
      <c r="E338" s="22"/>
      <c r="F338" s="22"/>
      <c r="G338" s="1023"/>
      <c r="H338" s="22"/>
      <c r="I338" s="22"/>
      <c r="J338" s="529"/>
      <c r="K338" s="24"/>
      <c r="L338" s="22"/>
    </row>
    <row r="339" spans="1:12" ht="12.75">
      <c r="A339" s="22"/>
      <c r="B339" s="22"/>
      <c r="C339" s="22"/>
      <c r="D339" s="22"/>
      <c r="E339" s="22"/>
      <c r="F339" s="22"/>
      <c r="G339" s="1023"/>
      <c r="H339" s="22"/>
      <c r="I339" s="22"/>
      <c r="J339" s="529"/>
      <c r="K339" s="24"/>
      <c r="L339" s="22"/>
    </row>
    <row r="340" spans="1:12" ht="12.75">
      <c r="A340" s="22"/>
      <c r="B340" s="22"/>
      <c r="C340" s="22"/>
      <c r="D340" s="22"/>
      <c r="E340" s="22"/>
      <c r="F340" s="22"/>
      <c r="G340" s="1023"/>
      <c r="H340" s="22"/>
      <c r="I340" s="22"/>
      <c r="J340" s="529"/>
      <c r="K340" s="24"/>
      <c r="L340" s="22"/>
    </row>
    <row r="341" spans="1:12" ht="12.75">
      <c r="A341" s="22"/>
      <c r="B341" s="22"/>
      <c r="C341" s="22"/>
      <c r="D341" s="22"/>
      <c r="E341" s="22"/>
      <c r="F341" s="22"/>
      <c r="G341" s="1023"/>
      <c r="H341" s="22"/>
      <c r="I341" s="22"/>
      <c r="J341" s="529"/>
      <c r="K341" s="24"/>
      <c r="L341" s="22"/>
    </row>
    <row r="342" spans="1:12" ht="12.75">
      <c r="A342" s="22"/>
      <c r="B342" s="22"/>
      <c r="C342" s="22"/>
      <c r="D342" s="22"/>
      <c r="E342" s="22"/>
      <c r="F342" s="22"/>
      <c r="G342" s="1023"/>
      <c r="H342" s="22"/>
      <c r="I342" s="22"/>
      <c r="J342" s="529"/>
      <c r="K342" s="24"/>
      <c r="L342" s="22"/>
    </row>
    <row r="343" spans="1:12" ht="12.75">
      <c r="A343" s="22"/>
      <c r="B343" s="22"/>
      <c r="C343" s="22"/>
      <c r="D343" s="22"/>
      <c r="E343" s="22"/>
      <c r="F343" s="22"/>
      <c r="G343" s="1023"/>
      <c r="H343" s="22"/>
      <c r="I343" s="22"/>
      <c r="J343" s="529"/>
      <c r="K343" s="24"/>
      <c r="L343" s="22"/>
    </row>
    <row r="344" spans="1:12" ht="12.75">
      <c r="A344" s="22"/>
      <c r="B344" s="22"/>
      <c r="C344" s="22"/>
      <c r="D344" s="22"/>
      <c r="E344" s="22"/>
      <c r="F344" s="22"/>
      <c r="G344" s="1023"/>
      <c r="H344" s="22"/>
      <c r="I344" s="22"/>
      <c r="J344" s="529"/>
      <c r="K344" s="24"/>
      <c r="L344" s="22"/>
    </row>
    <row r="345" spans="1:12" ht="12.75">
      <c r="A345" s="22"/>
      <c r="B345" s="22"/>
      <c r="C345" s="22"/>
      <c r="D345" s="22"/>
      <c r="E345" s="22"/>
      <c r="F345" s="22"/>
      <c r="G345" s="1023"/>
      <c r="H345" s="22"/>
      <c r="I345" s="22"/>
      <c r="J345" s="529"/>
      <c r="K345" s="24"/>
      <c r="L345" s="22"/>
    </row>
    <row r="346" spans="1:12" ht="12.75">
      <c r="A346" s="22"/>
      <c r="B346" s="22"/>
      <c r="C346" s="22"/>
      <c r="D346" s="22"/>
      <c r="E346" s="22"/>
      <c r="F346" s="22"/>
      <c r="G346" s="1023"/>
      <c r="H346" s="22"/>
      <c r="I346" s="22"/>
      <c r="J346" s="529"/>
      <c r="K346" s="24"/>
      <c r="L346" s="22"/>
    </row>
    <row r="347" spans="1:12" ht="12.75">
      <c r="A347" s="22"/>
      <c r="B347" s="22"/>
      <c r="C347" s="22"/>
      <c r="D347" s="22"/>
      <c r="E347" s="22"/>
      <c r="F347" s="22"/>
      <c r="G347" s="1023"/>
      <c r="H347" s="22"/>
      <c r="I347" s="22"/>
      <c r="J347" s="529"/>
      <c r="K347" s="24"/>
      <c r="L347" s="22"/>
    </row>
    <row r="348" spans="1:12" ht="12.75">
      <c r="A348" s="22"/>
      <c r="B348" s="22"/>
      <c r="C348" s="22"/>
      <c r="D348" s="22"/>
      <c r="E348" s="22"/>
      <c r="F348" s="22"/>
      <c r="G348" s="1023"/>
      <c r="H348" s="22"/>
      <c r="I348" s="22"/>
      <c r="J348" s="529"/>
      <c r="K348" s="24"/>
      <c r="L348" s="22"/>
    </row>
    <row r="349" spans="1:12" ht="12.75">
      <c r="A349" s="22"/>
      <c r="B349" s="22"/>
      <c r="C349" s="22"/>
      <c r="D349" s="22"/>
      <c r="E349" s="22"/>
      <c r="F349" s="22"/>
      <c r="G349" s="1023"/>
      <c r="H349" s="22"/>
      <c r="I349" s="22"/>
      <c r="J349" s="529"/>
      <c r="K349" s="24"/>
      <c r="L349" s="22"/>
    </row>
    <row r="350" spans="1:12" ht="12.75">
      <c r="A350" s="22"/>
      <c r="B350" s="22"/>
      <c r="C350" s="22"/>
      <c r="D350" s="22"/>
      <c r="E350" s="22"/>
      <c r="F350" s="22"/>
      <c r="G350" s="1023"/>
      <c r="H350" s="22"/>
      <c r="I350" s="22"/>
      <c r="J350" s="529"/>
      <c r="K350" s="24"/>
      <c r="L350" s="22"/>
    </row>
    <row r="351" spans="1:12" ht="12.75">
      <c r="A351" s="22"/>
      <c r="B351" s="22"/>
      <c r="C351" s="22"/>
      <c r="D351" s="22"/>
      <c r="E351" s="22"/>
      <c r="F351" s="22"/>
      <c r="G351" s="1023"/>
      <c r="H351" s="22"/>
      <c r="I351" s="22"/>
      <c r="J351" s="529"/>
      <c r="K351" s="24"/>
      <c r="L351" s="22"/>
    </row>
    <row r="352" spans="1:12" ht="12.75">
      <c r="A352" s="22"/>
      <c r="B352" s="22"/>
      <c r="C352" s="22"/>
      <c r="D352" s="22"/>
      <c r="E352" s="22"/>
      <c r="F352" s="22"/>
      <c r="G352" s="1023"/>
      <c r="H352" s="22"/>
      <c r="I352" s="22"/>
      <c r="J352" s="529"/>
      <c r="K352" s="24"/>
      <c r="L352" s="22"/>
    </row>
    <row r="353" spans="1:12" ht="12.75">
      <c r="A353" s="22"/>
      <c r="B353" s="22"/>
      <c r="C353" s="22"/>
      <c r="D353" s="22"/>
      <c r="E353" s="22"/>
      <c r="F353" s="22"/>
      <c r="G353" s="1023"/>
      <c r="H353" s="22"/>
      <c r="I353" s="22"/>
      <c r="J353" s="529"/>
      <c r="K353" s="24"/>
      <c r="L353" s="22"/>
    </row>
    <row r="354" spans="1:12" ht="12.75">
      <c r="A354" s="22"/>
      <c r="B354" s="22"/>
      <c r="C354" s="22"/>
      <c r="D354" s="22"/>
      <c r="E354" s="22"/>
      <c r="F354" s="22"/>
      <c r="G354" s="1023"/>
      <c r="H354" s="22"/>
      <c r="I354" s="22"/>
      <c r="J354" s="529"/>
      <c r="K354" s="24"/>
      <c r="L354" s="22"/>
    </row>
    <row r="355" spans="1:12" ht="12.75">
      <c r="A355" s="22"/>
      <c r="B355" s="22"/>
      <c r="C355" s="22"/>
      <c r="D355" s="22"/>
      <c r="E355" s="22"/>
      <c r="F355" s="22"/>
      <c r="G355" s="1023"/>
      <c r="H355" s="22"/>
      <c r="I355" s="22"/>
      <c r="J355" s="529"/>
      <c r="K355" s="24"/>
      <c r="L355" s="22"/>
    </row>
    <row r="356" spans="1:12" ht="12.75">
      <c r="A356" s="22"/>
      <c r="B356" s="22"/>
      <c r="C356" s="22"/>
      <c r="D356" s="22"/>
      <c r="E356" s="22"/>
      <c r="F356" s="22"/>
      <c r="G356" s="1023"/>
      <c r="H356" s="22"/>
      <c r="I356" s="22"/>
      <c r="J356" s="529"/>
      <c r="K356" s="24"/>
      <c r="L356" s="22"/>
    </row>
    <row r="357" spans="1:12" ht="12.75">
      <c r="A357" s="22"/>
      <c r="B357" s="22"/>
      <c r="C357" s="22"/>
      <c r="D357" s="22"/>
      <c r="E357" s="22"/>
      <c r="F357" s="22"/>
      <c r="G357" s="1023"/>
      <c r="H357" s="22"/>
      <c r="I357" s="22"/>
      <c r="J357" s="529"/>
      <c r="K357" s="24"/>
      <c r="L357" s="22"/>
    </row>
    <row r="358" spans="1:12" ht="12.75">
      <c r="A358" s="22"/>
      <c r="B358" s="22"/>
      <c r="C358" s="22"/>
      <c r="D358" s="22"/>
      <c r="E358" s="22"/>
      <c r="F358" s="22"/>
      <c r="G358" s="1023"/>
      <c r="H358" s="22"/>
      <c r="I358" s="22"/>
      <c r="J358" s="529"/>
      <c r="K358" s="24"/>
      <c r="L358" s="22"/>
    </row>
    <row r="359" spans="1:12" ht="12.75">
      <c r="A359" s="22"/>
      <c r="B359" s="22"/>
      <c r="C359" s="22"/>
      <c r="D359" s="22"/>
      <c r="E359" s="22"/>
      <c r="F359" s="22"/>
      <c r="G359" s="1023"/>
      <c r="H359" s="22"/>
      <c r="I359" s="22"/>
      <c r="J359" s="529"/>
      <c r="K359" s="24"/>
      <c r="L359" s="22"/>
    </row>
    <row r="360" spans="1:12" ht="12.75">
      <c r="A360" s="22"/>
      <c r="B360" s="22"/>
      <c r="C360" s="22"/>
      <c r="D360" s="22"/>
      <c r="E360" s="22"/>
      <c r="F360" s="22"/>
      <c r="G360" s="1023"/>
      <c r="H360" s="22"/>
      <c r="I360" s="22"/>
      <c r="J360" s="529"/>
      <c r="K360" s="24"/>
      <c r="L360" s="22"/>
    </row>
    <row r="361" spans="1:12" ht="12.75">
      <c r="A361" s="22"/>
      <c r="B361" s="22"/>
      <c r="C361" s="22"/>
      <c r="D361" s="22"/>
      <c r="E361" s="22"/>
      <c r="F361" s="22"/>
      <c r="G361" s="1023"/>
      <c r="H361" s="22"/>
      <c r="I361" s="22"/>
      <c r="J361" s="529"/>
      <c r="K361" s="24"/>
      <c r="L361" s="22"/>
    </row>
    <row r="362" spans="1:12" ht="12.75">
      <c r="A362" s="22"/>
      <c r="B362" s="22"/>
      <c r="C362" s="22"/>
      <c r="D362" s="22"/>
      <c r="E362" s="22"/>
      <c r="F362" s="22"/>
      <c r="G362" s="1023"/>
      <c r="H362" s="22"/>
      <c r="I362" s="22"/>
      <c r="J362" s="529"/>
      <c r="K362" s="24"/>
      <c r="L362" s="22"/>
    </row>
    <row r="363" spans="1:12" ht="12.75">
      <c r="A363" s="22"/>
      <c r="B363" s="22"/>
      <c r="C363" s="22"/>
      <c r="D363" s="22"/>
      <c r="E363" s="22"/>
      <c r="F363" s="22"/>
      <c r="G363" s="1023"/>
      <c r="H363" s="22"/>
      <c r="I363" s="22"/>
      <c r="J363" s="529"/>
      <c r="K363" s="24"/>
      <c r="L363" s="22"/>
    </row>
    <row r="364" spans="1:12" ht="12.75">
      <c r="A364" s="22"/>
      <c r="B364" s="22"/>
      <c r="C364" s="22"/>
      <c r="D364" s="22"/>
      <c r="E364" s="22"/>
      <c r="F364" s="22"/>
      <c r="G364" s="1023"/>
      <c r="H364" s="22"/>
      <c r="I364" s="22"/>
      <c r="J364" s="529"/>
      <c r="K364" s="24"/>
      <c r="L364" s="22"/>
    </row>
    <row r="365" spans="1:12" ht="12.75">
      <c r="A365" s="22"/>
      <c r="B365" s="22"/>
      <c r="C365" s="22"/>
      <c r="D365" s="22"/>
      <c r="E365" s="22"/>
      <c r="F365" s="22"/>
      <c r="G365" s="1023"/>
      <c r="H365" s="22"/>
      <c r="I365" s="22"/>
      <c r="J365" s="529"/>
      <c r="K365" s="24"/>
      <c r="L365" s="22"/>
    </row>
    <row r="366" spans="1:12" ht="12.75">
      <c r="A366" s="22"/>
      <c r="B366" s="22"/>
      <c r="C366" s="22"/>
      <c r="D366" s="22"/>
      <c r="E366" s="22"/>
      <c r="F366" s="22"/>
      <c r="G366" s="1023"/>
      <c r="H366" s="22"/>
      <c r="I366" s="22"/>
      <c r="J366" s="529"/>
      <c r="K366" s="24"/>
      <c r="L366" s="22"/>
    </row>
    <row r="367" spans="1:12" ht="12.75">
      <c r="A367" s="22"/>
      <c r="B367" s="22"/>
      <c r="C367" s="22"/>
      <c r="D367" s="22"/>
      <c r="E367" s="22"/>
      <c r="F367" s="22"/>
      <c r="G367" s="1023"/>
      <c r="H367" s="22"/>
      <c r="I367" s="22"/>
      <c r="J367" s="529"/>
      <c r="K367" s="24"/>
      <c r="L367" s="22"/>
    </row>
    <row r="368" spans="1:12" ht="12.75">
      <c r="A368" s="22"/>
      <c r="B368" s="22"/>
      <c r="C368" s="22"/>
      <c r="D368" s="22"/>
      <c r="E368" s="22"/>
      <c r="F368" s="22"/>
      <c r="G368" s="1023"/>
      <c r="H368" s="22"/>
      <c r="I368" s="22"/>
      <c r="J368" s="529"/>
      <c r="K368" s="24"/>
      <c r="L368" s="22"/>
    </row>
    <row r="369" spans="1:12" ht="12.75">
      <c r="A369" s="22"/>
      <c r="B369" s="22"/>
      <c r="C369" s="22"/>
      <c r="D369" s="22"/>
      <c r="E369" s="22"/>
      <c r="F369" s="22"/>
      <c r="G369" s="1023"/>
      <c r="H369" s="22"/>
      <c r="I369" s="22"/>
      <c r="J369" s="529"/>
      <c r="K369" s="24"/>
      <c r="L369" s="22"/>
    </row>
    <row r="370" spans="1:12" ht="12.75">
      <c r="A370" s="22"/>
      <c r="B370" s="22"/>
      <c r="C370" s="22"/>
      <c r="D370" s="22"/>
      <c r="E370" s="22"/>
      <c r="F370" s="22"/>
      <c r="G370" s="1023"/>
      <c r="H370" s="22"/>
      <c r="I370" s="22"/>
      <c r="J370" s="529"/>
      <c r="K370" s="24"/>
      <c r="L370" s="22"/>
    </row>
    <row r="371" spans="1:12" ht="12.75">
      <c r="A371" s="22"/>
      <c r="B371" s="22"/>
      <c r="C371" s="22"/>
      <c r="D371" s="22"/>
      <c r="E371" s="22"/>
      <c r="F371" s="22"/>
      <c r="G371" s="1023"/>
      <c r="H371" s="22"/>
      <c r="I371" s="22"/>
      <c r="J371" s="529"/>
      <c r="K371" s="24"/>
      <c r="L371" s="22"/>
    </row>
    <row r="372" spans="1:12" ht="12.75">
      <c r="A372" s="22"/>
      <c r="B372" s="22"/>
      <c r="C372" s="22"/>
      <c r="D372" s="22"/>
      <c r="E372" s="22"/>
      <c r="F372" s="22"/>
      <c r="G372" s="1023"/>
      <c r="H372" s="22"/>
      <c r="I372" s="22"/>
      <c r="J372" s="529"/>
      <c r="K372" s="24"/>
      <c r="L372" s="22"/>
    </row>
    <row r="373" spans="1:12" ht="12.75">
      <c r="A373" s="22"/>
      <c r="B373" s="22"/>
      <c r="C373" s="22"/>
      <c r="D373" s="22"/>
      <c r="E373" s="22"/>
      <c r="F373" s="22"/>
      <c r="G373" s="1023"/>
      <c r="H373" s="22"/>
      <c r="I373" s="22"/>
      <c r="J373" s="529"/>
      <c r="K373" s="24"/>
      <c r="L373" s="22"/>
    </row>
    <row r="374" spans="1:12" ht="12.75">
      <c r="A374" s="22"/>
      <c r="B374" s="22"/>
      <c r="C374" s="22"/>
      <c r="D374" s="22"/>
      <c r="E374" s="22"/>
      <c r="F374" s="22"/>
      <c r="G374" s="1023"/>
      <c r="H374" s="22"/>
      <c r="I374" s="22"/>
      <c r="J374" s="529"/>
      <c r="K374" s="24"/>
      <c r="L374" s="22"/>
    </row>
    <row r="375" spans="1:12" ht="12.75">
      <c r="A375" s="22"/>
      <c r="B375" s="22"/>
      <c r="C375" s="22"/>
      <c r="D375" s="22"/>
      <c r="E375" s="22"/>
      <c r="F375" s="22"/>
      <c r="G375" s="1023"/>
      <c r="H375" s="22"/>
      <c r="I375" s="22"/>
      <c r="J375" s="529"/>
      <c r="K375" s="24"/>
      <c r="L375" s="22"/>
    </row>
    <row r="376" spans="1:12" ht="12.75">
      <c r="A376" s="22"/>
      <c r="B376" s="22"/>
      <c r="C376" s="22"/>
      <c r="D376" s="22"/>
      <c r="E376" s="22"/>
      <c r="F376" s="22"/>
      <c r="G376" s="1023"/>
      <c r="H376" s="22"/>
      <c r="I376" s="22"/>
      <c r="J376" s="529"/>
      <c r="K376" s="24"/>
      <c r="L376" s="22"/>
    </row>
    <row r="377" spans="1:12" ht="12.75">
      <c r="A377" s="22"/>
      <c r="B377" s="22"/>
      <c r="C377" s="22"/>
      <c r="D377" s="22"/>
      <c r="E377" s="22"/>
      <c r="F377" s="22"/>
      <c r="G377" s="1023"/>
      <c r="H377" s="22"/>
      <c r="I377" s="22"/>
      <c r="J377" s="529"/>
      <c r="K377" s="24"/>
      <c r="L377" s="22"/>
    </row>
    <row r="378" spans="1:12" ht="12.75">
      <c r="A378" s="22"/>
      <c r="B378" s="22"/>
      <c r="C378" s="22"/>
      <c r="D378" s="22"/>
      <c r="E378" s="22"/>
      <c r="F378" s="22"/>
      <c r="G378" s="1023"/>
      <c r="H378" s="22"/>
      <c r="I378" s="22"/>
      <c r="J378" s="529"/>
      <c r="K378" s="24"/>
      <c r="L378" s="22"/>
    </row>
    <row r="379" spans="1:12" ht="12.75">
      <c r="A379" s="22"/>
      <c r="B379" s="22"/>
      <c r="C379" s="22"/>
      <c r="D379" s="22"/>
      <c r="E379" s="22"/>
      <c r="F379" s="22"/>
      <c r="G379" s="1023"/>
      <c r="H379" s="22"/>
      <c r="I379" s="22"/>
      <c r="J379" s="529"/>
      <c r="K379" s="24"/>
      <c r="L379" s="22"/>
    </row>
    <row r="380" spans="1:12" ht="12.75">
      <c r="A380" s="22"/>
      <c r="B380" s="22"/>
      <c r="C380" s="22"/>
      <c r="D380" s="22"/>
      <c r="E380" s="22"/>
      <c r="F380" s="22"/>
      <c r="G380" s="1023"/>
      <c r="H380" s="22"/>
      <c r="I380" s="22"/>
      <c r="J380" s="529"/>
      <c r="K380" s="24"/>
      <c r="L380" s="22"/>
    </row>
    <row r="381" spans="1:12" ht="12.75">
      <c r="A381" s="22"/>
      <c r="B381" s="22"/>
      <c r="C381" s="22"/>
      <c r="D381" s="22"/>
      <c r="E381" s="22"/>
      <c r="F381" s="22"/>
      <c r="G381" s="1023"/>
      <c r="H381" s="22"/>
      <c r="I381" s="22"/>
      <c r="J381" s="529"/>
      <c r="K381" s="24"/>
      <c r="L381" s="22"/>
    </row>
    <row r="382" spans="1:12" ht="12.75">
      <c r="A382" s="22"/>
      <c r="B382" s="22"/>
      <c r="C382" s="22"/>
      <c r="D382" s="22"/>
      <c r="E382" s="22"/>
      <c r="F382" s="22"/>
      <c r="G382" s="1023"/>
      <c r="H382" s="22"/>
      <c r="I382" s="22"/>
      <c r="J382" s="529"/>
      <c r="K382" s="24"/>
      <c r="L382" s="22"/>
    </row>
    <row r="383" spans="1:12" ht="12.75">
      <c r="A383" s="22"/>
      <c r="B383" s="22"/>
      <c r="C383" s="22"/>
      <c r="D383" s="22"/>
      <c r="E383" s="22"/>
      <c r="F383" s="22"/>
      <c r="G383" s="1023"/>
      <c r="H383" s="22"/>
      <c r="I383" s="22"/>
      <c r="J383" s="529"/>
      <c r="K383" s="24"/>
      <c r="L383" s="22"/>
    </row>
    <row r="384" spans="1:12" ht="12.75">
      <c r="A384" s="22"/>
      <c r="B384" s="22"/>
      <c r="C384" s="22"/>
      <c r="D384" s="22"/>
      <c r="E384" s="22"/>
      <c r="F384" s="22"/>
      <c r="G384" s="1023"/>
      <c r="H384" s="22"/>
      <c r="I384" s="22"/>
      <c r="J384" s="529"/>
      <c r="K384" s="24"/>
      <c r="L384" s="22"/>
    </row>
    <row r="385" spans="1:12" ht="12.75">
      <c r="A385" s="22"/>
      <c r="B385" s="22"/>
      <c r="C385" s="22"/>
      <c r="D385" s="22"/>
      <c r="E385" s="22"/>
      <c r="F385" s="22"/>
      <c r="G385" s="1023"/>
      <c r="H385" s="22"/>
      <c r="I385" s="22"/>
      <c r="J385" s="529"/>
      <c r="K385" s="24"/>
      <c r="L385" s="22"/>
    </row>
    <row r="386" spans="1:12" ht="12.75">
      <c r="A386" s="22"/>
      <c r="B386" s="22"/>
      <c r="C386" s="22"/>
      <c r="D386" s="22"/>
      <c r="E386" s="22"/>
      <c r="F386" s="22"/>
      <c r="G386" s="1023"/>
      <c r="H386" s="22"/>
      <c r="I386" s="22"/>
      <c r="J386" s="529"/>
      <c r="K386" s="24"/>
      <c r="L386" s="22"/>
    </row>
    <row r="387" spans="1:12" ht="12.75">
      <c r="A387" s="22"/>
      <c r="B387" s="22"/>
      <c r="C387" s="22"/>
      <c r="D387" s="22"/>
      <c r="E387" s="22"/>
      <c r="F387" s="22"/>
      <c r="G387" s="1023"/>
      <c r="H387" s="22"/>
      <c r="I387" s="22"/>
      <c r="J387" s="529"/>
      <c r="K387" s="24"/>
      <c r="L387" s="22"/>
    </row>
    <row r="388" spans="1:12" ht="12.75">
      <c r="A388" s="22"/>
      <c r="B388" s="22"/>
      <c r="C388" s="22"/>
      <c r="D388" s="22"/>
      <c r="E388" s="22"/>
      <c r="F388" s="22"/>
      <c r="G388" s="1023"/>
      <c r="H388" s="22"/>
      <c r="I388" s="22"/>
      <c r="J388" s="529"/>
      <c r="K388" s="24"/>
      <c r="L388" s="22"/>
    </row>
    <row r="389" spans="1:12" ht="12.75">
      <c r="A389" s="22"/>
      <c r="B389" s="22"/>
      <c r="C389" s="22"/>
      <c r="D389" s="22"/>
      <c r="E389" s="22"/>
      <c r="F389" s="22"/>
      <c r="G389" s="1023"/>
      <c r="H389" s="22"/>
      <c r="I389" s="22"/>
      <c r="J389" s="529"/>
      <c r="K389" s="24"/>
      <c r="L389" s="22"/>
    </row>
    <row r="390" spans="1:12" ht="12.75">
      <c r="A390" s="22"/>
      <c r="B390" s="22"/>
      <c r="C390" s="22"/>
      <c r="D390" s="22"/>
      <c r="E390" s="22"/>
      <c r="F390" s="22"/>
      <c r="G390" s="1023"/>
      <c r="H390" s="22"/>
      <c r="I390" s="22"/>
      <c r="J390" s="529"/>
      <c r="K390" s="24"/>
      <c r="L390" s="22"/>
    </row>
    <row r="391" spans="1:12" ht="12.75">
      <c r="A391" s="22"/>
      <c r="B391" s="22"/>
      <c r="C391" s="22"/>
      <c r="D391" s="22"/>
      <c r="E391" s="22"/>
      <c r="F391" s="22"/>
      <c r="G391" s="1023"/>
      <c r="H391" s="22"/>
      <c r="I391" s="22"/>
      <c r="J391" s="529"/>
      <c r="K391" s="24"/>
      <c r="L391" s="22"/>
    </row>
    <row r="392" spans="1:12" ht="12.75">
      <c r="A392" s="22"/>
      <c r="B392" s="22"/>
      <c r="C392" s="22"/>
      <c r="D392" s="22"/>
      <c r="E392" s="22"/>
      <c r="F392" s="22"/>
      <c r="G392" s="1023"/>
      <c r="H392" s="22"/>
      <c r="I392" s="22"/>
      <c r="J392" s="529"/>
      <c r="K392" s="24"/>
      <c r="L392" s="22"/>
    </row>
    <row r="393" spans="1:12" ht="12.75">
      <c r="A393" s="22"/>
      <c r="B393" s="22"/>
      <c r="C393" s="22"/>
      <c r="D393" s="22"/>
      <c r="E393" s="22"/>
      <c r="F393" s="22"/>
      <c r="G393" s="1023"/>
      <c r="H393" s="22"/>
      <c r="I393" s="22"/>
      <c r="J393" s="529"/>
      <c r="K393" s="24"/>
      <c r="L393" s="22"/>
    </row>
    <row r="394" spans="1:12" ht="12.75">
      <c r="A394" s="22"/>
      <c r="B394" s="22"/>
      <c r="C394" s="22"/>
      <c r="D394" s="22"/>
      <c r="E394" s="22"/>
      <c r="F394" s="22"/>
      <c r="G394" s="1023"/>
      <c r="H394" s="22"/>
      <c r="I394" s="22"/>
      <c r="J394" s="529"/>
      <c r="K394" s="24"/>
      <c r="L394" s="22"/>
    </row>
    <row r="395" spans="1:12" ht="12.75">
      <c r="A395" s="22"/>
      <c r="B395" s="22"/>
      <c r="C395" s="22"/>
      <c r="D395" s="22"/>
      <c r="E395" s="22"/>
      <c r="F395" s="22"/>
      <c r="G395" s="1023"/>
      <c r="H395" s="22"/>
      <c r="I395" s="22"/>
      <c r="J395" s="529"/>
      <c r="K395" s="24"/>
      <c r="L395" s="22"/>
    </row>
    <row r="396" spans="1:12" ht="12.75">
      <c r="A396" s="22"/>
      <c r="B396" s="22"/>
      <c r="C396" s="22"/>
      <c r="D396" s="22"/>
      <c r="E396" s="22"/>
      <c r="F396" s="22"/>
      <c r="G396" s="1023"/>
      <c r="H396" s="22"/>
      <c r="I396" s="22"/>
      <c r="J396" s="529"/>
      <c r="K396" s="24"/>
      <c r="L396" s="22"/>
    </row>
    <row r="397" spans="1:12" ht="12.75">
      <c r="A397" s="22"/>
      <c r="B397" s="22"/>
      <c r="C397" s="22"/>
      <c r="D397" s="22"/>
      <c r="E397" s="22"/>
      <c r="F397" s="22"/>
      <c r="G397" s="1023"/>
      <c r="H397" s="22"/>
      <c r="I397" s="22"/>
      <c r="J397" s="529"/>
      <c r="K397" s="24"/>
      <c r="L397" s="22"/>
    </row>
    <row r="398" spans="1:12" ht="12.75">
      <c r="A398" s="22"/>
      <c r="B398" s="22"/>
      <c r="C398" s="22"/>
      <c r="D398" s="22"/>
      <c r="E398" s="22"/>
      <c r="F398" s="22"/>
      <c r="G398" s="1023"/>
      <c r="H398" s="22"/>
      <c r="I398" s="22"/>
      <c r="J398" s="529"/>
      <c r="K398" s="24"/>
      <c r="L398" s="22"/>
    </row>
    <row r="399" spans="1:12" ht="12.75">
      <c r="A399" s="22"/>
      <c r="B399" s="22"/>
      <c r="C399" s="22"/>
      <c r="D399" s="22"/>
      <c r="E399" s="22"/>
      <c r="F399" s="22"/>
      <c r="G399" s="1023"/>
      <c r="H399" s="22"/>
      <c r="I399" s="22"/>
      <c r="J399" s="529"/>
      <c r="K399" s="24"/>
      <c r="L399" s="22"/>
    </row>
    <row r="400" spans="1:12" ht="12.75">
      <c r="A400" s="22"/>
      <c r="B400" s="22"/>
      <c r="C400" s="22"/>
      <c r="D400" s="22"/>
      <c r="E400" s="22"/>
      <c r="F400" s="22"/>
      <c r="G400" s="1023"/>
      <c r="H400" s="22"/>
      <c r="I400" s="22"/>
      <c r="J400" s="529"/>
      <c r="K400" s="24"/>
      <c r="L400" s="22"/>
    </row>
    <row r="401" spans="1:12" ht="12.75">
      <c r="A401" s="22"/>
      <c r="B401" s="22"/>
      <c r="C401" s="22"/>
      <c r="D401" s="22"/>
      <c r="E401" s="22"/>
      <c r="F401" s="22"/>
      <c r="G401" s="1023"/>
      <c r="H401" s="22"/>
      <c r="I401" s="22"/>
      <c r="J401" s="529"/>
      <c r="K401" s="24"/>
      <c r="L401" s="22"/>
    </row>
    <row r="402" spans="1:12" ht="12.75">
      <c r="A402" s="22"/>
      <c r="B402" s="22"/>
      <c r="C402" s="22"/>
      <c r="D402" s="22"/>
      <c r="E402" s="22"/>
      <c r="F402" s="22"/>
      <c r="G402" s="1023"/>
      <c r="H402" s="22"/>
      <c r="I402" s="22"/>
      <c r="J402" s="529"/>
      <c r="K402" s="24"/>
      <c r="L402" s="22"/>
    </row>
    <row r="403" spans="1:12" ht="12.75">
      <c r="A403" s="22"/>
      <c r="B403" s="22"/>
      <c r="C403" s="22"/>
      <c r="D403" s="22"/>
      <c r="E403" s="22"/>
      <c r="F403" s="22"/>
      <c r="G403" s="1023"/>
      <c r="H403" s="22"/>
      <c r="I403" s="22"/>
      <c r="J403" s="529"/>
      <c r="K403" s="24"/>
      <c r="L403" s="22"/>
    </row>
    <row r="404" spans="1:12" ht="12.75">
      <c r="A404" s="22"/>
      <c r="B404" s="22"/>
      <c r="C404" s="22"/>
      <c r="D404" s="22"/>
      <c r="E404" s="22"/>
      <c r="F404" s="22"/>
      <c r="G404" s="1023"/>
      <c r="H404" s="22"/>
      <c r="I404" s="22"/>
      <c r="J404" s="529"/>
      <c r="K404" s="24"/>
      <c r="L404" s="22"/>
    </row>
    <row r="405" spans="1:12" ht="12.75">
      <c r="A405" s="22"/>
      <c r="B405" s="22"/>
      <c r="C405" s="22"/>
      <c r="D405" s="22"/>
      <c r="E405" s="22"/>
      <c r="F405" s="22"/>
      <c r="G405" s="1023"/>
      <c r="H405" s="22"/>
      <c r="I405" s="22"/>
      <c r="J405" s="529"/>
      <c r="K405" s="24"/>
      <c r="L405" s="22"/>
    </row>
    <row r="406" spans="1:12" ht="12.75">
      <c r="A406" s="22"/>
      <c r="B406" s="22"/>
      <c r="C406" s="22"/>
      <c r="D406" s="22"/>
      <c r="E406" s="22"/>
      <c r="F406" s="22"/>
      <c r="G406" s="1023"/>
      <c r="H406" s="22"/>
      <c r="I406" s="22"/>
      <c r="J406" s="529"/>
      <c r="K406" s="24"/>
      <c r="L406" s="22"/>
    </row>
    <row r="407" spans="1:12" ht="12.75">
      <c r="A407" s="22"/>
      <c r="B407" s="22"/>
      <c r="C407" s="22"/>
      <c r="D407" s="22"/>
      <c r="E407" s="22"/>
      <c r="F407" s="22"/>
      <c r="G407" s="1023"/>
      <c r="H407" s="22"/>
      <c r="I407" s="22"/>
      <c r="J407" s="529"/>
      <c r="K407" s="24"/>
      <c r="L407" s="22"/>
    </row>
    <row r="408" spans="1:12" ht="12.75">
      <c r="A408" s="22"/>
      <c r="B408" s="22"/>
      <c r="C408" s="22"/>
      <c r="D408" s="22"/>
      <c r="E408" s="22"/>
      <c r="F408" s="22"/>
      <c r="G408" s="1023"/>
      <c r="H408" s="22"/>
      <c r="I408" s="22"/>
      <c r="J408" s="529"/>
      <c r="K408" s="24"/>
      <c r="L408" s="22"/>
    </row>
    <row r="409" spans="1:12" ht="12.75">
      <c r="A409" s="22"/>
      <c r="B409" s="22"/>
      <c r="C409" s="22"/>
      <c r="D409" s="22"/>
      <c r="E409" s="22"/>
      <c r="F409" s="22"/>
      <c r="G409" s="1023"/>
      <c r="H409" s="22"/>
      <c r="I409" s="22"/>
      <c r="J409" s="529"/>
      <c r="K409" s="24"/>
      <c r="L409" s="22"/>
    </row>
    <row r="410" spans="1:12" ht="12.75">
      <c r="A410" s="22"/>
      <c r="B410" s="22"/>
      <c r="C410" s="22"/>
      <c r="D410" s="22"/>
      <c r="E410" s="22"/>
      <c r="F410" s="22"/>
      <c r="G410" s="1023"/>
      <c r="H410" s="22"/>
      <c r="I410" s="22"/>
      <c r="J410" s="529"/>
      <c r="K410" s="24"/>
      <c r="L410" s="22"/>
    </row>
    <row r="411" spans="1:12" ht="12.75">
      <c r="A411" s="22"/>
      <c r="B411" s="22"/>
      <c r="C411" s="22"/>
      <c r="D411" s="22"/>
      <c r="E411" s="22"/>
      <c r="F411" s="22"/>
      <c r="G411" s="1023"/>
      <c r="H411" s="22"/>
      <c r="I411" s="22"/>
      <c r="J411" s="529"/>
      <c r="K411" s="24"/>
      <c r="L411" s="22"/>
    </row>
    <row r="412" spans="1:12" ht="12.75">
      <c r="A412" s="22"/>
      <c r="B412" s="22"/>
      <c r="C412" s="22"/>
      <c r="D412" s="22"/>
      <c r="E412" s="22"/>
      <c r="F412" s="22"/>
      <c r="G412" s="1023"/>
      <c r="H412" s="22"/>
      <c r="I412" s="22"/>
      <c r="J412" s="529"/>
      <c r="K412" s="24"/>
      <c r="L412" s="22"/>
    </row>
    <row r="413" spans="1:12" ht="12.75">
      <c r="A413" s="22"/>
      <c r="B413" s="22"/>
      <c r="C413" s="22"/>
      <c r="D413" s="22"/>
      <c r="E413" s="22"/>
      <c r="F413" s="22"/>
      <c r="G413" s="1023"/>
      <c r="H413" s="22"/>
      <c r="I413" s="22"/>
      <c r="J413" s="529"/>
      <c r="K413" s="24"/>
      <c r="L413" s="22"/>
    </row>
    <row r="414" spans="1:12" ht="12.75">
      <c r="A414" s="22"/>
      <c r="B414" s="22"/>
      <c r="C414" s="22"/>
      <c r="D414" s="22"/>
      <c r="E414" s="22"/>
      <c r="F414" s="22"/>
      <c r="G414" s="1023"/>
      <c r="H414" s="22"/>
      <c r="I414" s="22"/>
      <c r="J414" s="529"/>
      <c r="K414" s="24"/>
      <c r="L414" s="22"/>
    </row>
    <row r="415" spans="1:12" ht="12.75">
      <c r="A415" s="22"/>
      <c r="B415" s="22"/>
      <c r="C415" s="22"/>
      <c r="D415" s="22"/>
      <c r="E415" s="22"/>
      <c r="F415" s="22"/>
      <c r="G415" s="1023"/>
      <c r="H415" s="22"/>
      <c r="I415" s="22"/>
      <c r="J415" s="529"/>
      <c r="K415" s="24"/>
      <c r="L415" s="22"/>
    </row>
    <row r="416" spans="1:12" ht="12.75">
      <c r="A416" s="22"/>
      <c r="B416" s="22"/>
      <c r="C416" s="22"/>
      <c r="D416" s="22"/>
      <c r="E416" s="22"/>
      <c r="F416" s="22"/>
      <c r="G416" s="1023"/>
      <c r="H416" s="22"/>
      <c r="I416" s="22"/>
      <c r="J416" s="529"/>
      <c r="K416" s="24"/>
      <c r="L416" s="22"/>
    </row>
    <row r="417" spans="1:12" ht="12.75">
      <c r="A417" s="22"/>
      <c r="B417" s="22"/>
      <c r="C417" s="22"/>
      <c r="D417" s="22"/>
      <c r="E417" s="22"/>
      <c r="F417" s="22"/>
      <c r="G417" s="1023"/>
      <c r="H417" s="22"/>
      <c r="I417" s="22"/>
      <c r="J417" s="529"/>
      <c r="K417" s="24"/>
      <c r="L417" s="22"/>
    </row>
    <row r="418" spans="1:12" ht="12.75">
      <c r="A418" s="22"/>
      <c r="B418" s="22"/>
      <c r="C418" s="22"/>
      <c r="D418" s="22"/>
      <c r="E418" s="22"/>
      <c r="F418" s="22"/>
      <c r="G418" s="1023"/>
      <c r="H418" s="22"/>
      <c r="I418" s="22"/>
      <c r="J418" s="529"/>
      <c r="K418" s="24"/>
      <c r="L418" s="22"/>
    </row>
    <row r="419" spans="1:12" ht="12.75">
      <c r="A419" s="22"/>
      <c r="B419" s="22"/>
      <c r="C419" s="22"/>
      <c r="D419" s="22"/>
      <c r="E419" s="22"/>
      <c r="F419" s="22"/>
      <c r="G419" s="1023"/>
      <c r="H419" s="22"/>
      <c r="I419" s="22"/>
      <c r="J419" s="529"/>
      <c r="K419" s="24"/>
      <c r="L419" s="22"/>
    </row>
    <row r="420" spans="1:12" ht="12.75">
      <c r="A420" s="22"/>
      <c r="B420" s="22"/>
      <c r="C420" s="22"/>
      <c r="D420" s="22"/>
      <c r="E420" s="22"/>
      <c r="F420" s="22"/>
      <c r="G420" s="1023"/>
      <c r="H420" s="22"/>
      <c r="I420" s="22"/>
      <c r="J420" s="529"/>
      <c r="K420" s="24"/>
      <c r="L420" s="22"/>
    </row>
    <row r="421" spans="1:12" ht="12.75">
      <c r="A421" s="22"/>
      <c r="B421" s="22"/>
      <c r="C421" s="22"/>
      <c r="D421" s="22"/>
      <c r="E421" s="22"/>
      <c r="F421" s="22"/>
      <c r="G421" s="1023"/>
      <c r="H421" s="22"/>
      <c r="I421" s="22"/>
      <c r="J421" s="529"/>
      <c r="K421" s="24"/>
      <c r="L421" s="22"/>
    </row>
    <row r="422" spans="1:12" ht="12.75">
      <c r="A422" s="22"/>
      <c r="B422" s="22"/>
      <c r="C422" s="22"/>
      <c r="D422" s="22"/>
      <c r="E422" s="22"/>
      <c r="F422" s="22"/>
      <c r="G422" s="1023"/>
      <c r="H422" s="22"/>
      <c r="I422" s="22"/>
      <c r="J422" s="529"/>
      <c r="K422" s="24"/>
      <c r="L422" s="22"/>
    </row>
    <row r="423" spans="1:12" ht="12.75">
      <c r="A423" s="22"/>
      <c r="B423" s="22"/>
      <c r="C423" s="22"/>
      <c r="D423" s="22"/>
      <c r="E423" s="22"/>
      <c r="F423" s="22"/>
      <c r="G423" s="1023"/>
      <c r="H423" s="22"/>
      <c r="I423" s="22"/>
      <c r="J423" s="529"/>
      <c r="K423" s="24"/>
      <c r="L423" s="22"/>
    </row>
    <row r="424" spans="1:12" ht="12.75">
      <c r="A424" s="22"/>
      <c r="B424" s="22"/>
      <c r="C424" s="22"/>
      <c r="D424" s="22"/>
      <c r="E424" s="22"/>
      <c r="F424" s="22"/>
      <c r="G424" s="1023"/>
      <c r="H424" s="22"/>
      <c r="I424" s="22"/>
      <c r="J424" s="529"/>
      <c r="K424" s="24"/>
      <c r="L424" s="22"/>
    </row>
    <row r="425" spans="1:12" ht="12.75">
      <c r="A425" s="22"/>
      <c r="B425" s="22"/>
      <c r="C425" s="22"/>
      <c r="D425" s="22"/>
      <c r="E425" s="22"/>
      <c r="F425" s="22"/>
      <c r="G425" s="1023"/>
      <c r="H425" s="22"/>
      <c r="I425" s="22"/>
      <c r="J425" s="529"/>
      <c r="K425" s="24"/>
      <c r="L425" s="22"/>
    </row>
    <row r="426" spans="1:12" ht="12.75">
      <c r="A426" s="22"/>
      <c r="B426" s="22"/>
      <c r="C426" s="22"/>
      <c r="D426" s="22"/>
      <c r="E426" s="22"/>
      <c r="F426" s="22"/>
      <c r="G426" s="1023"/>
      <c r="H426" s="22"/>
      <c r="I426" s="22"/>
      <c r="J426" s="529"/>
      <c r="K426" s="24"/>
      <c r="L426" s="22"/>
    </row>
    <row r="427" spans="1:12" ht="12.75">
      <c r="A427" s="22"/>
      <c r="B427" s="22"/>
      <c r="C427" s="22"/>
      <c r="D427" s="22"/>
      <c r="E427" s="22"/>
      <c r="F427" s="22"/>
      <c r="G427" s="1023"/>
      <c r="H427" s="22"/>
      <c r="I427" s="22"/>
      <c r="J427" s="529"/>
      <c r="K427" s="24"/>
      <c r="L427" s="22"/>
    </row>
    <row r="428" spans="1:12" ht="12.75">
      <c r="A428" s="22"/>
      <c r="B428" s="22"/>
      <c r="C428" s="22"/>
      <c r="D428" s="22"/>
      <c r="E428" s="22"/>
      <c r="F428" s="22"/>
      <c r="G428" s="1023"/>
      <c r="H428" s="22"/>
      <c r="I428" s="22"/>
      <c r="J428" s="529"/>
      <c r="K428" s="24"/>
      <c r="L428" s="22"/>
    </row>
    <row r="429" spans="1:12" ht="12.75">
      <c r="A429" s="22"/>
      <c r="B429" s="22"/>
      <c r="C429" s="22"/>
      <c r="D429" s="22"/>
      <c r="E429" s="22"/>
      <c r="F429" s="22"/>
      <c r="G429" s="1023"/>
      <c r="H429" s="22"/>
      <c r="I429" s="22"/>
      <c r="J429" s="529"/>
      <c r="K429" s="24"/>
      <c r="L429" s="22"/>
    </row>
    <row r="430" spans="1:12" ht="12.75">
      <c r="A430" s="22"/>
      <c r="B430" s="22"/>
      <c r="C430" s="22"/>
      <c r="D430" s="22"/>
      <c r="E430" s="22"/>
      <c r="F430" s="22"/>
      <c r="G430" s="1023"/>
      <c r="H430" s="22"/>
      <c r="I430" s="22"/>
      <c r="J430" s="529"/>
      <c r="K430" s="24"/>
      <c r="L430" s="22"/>
    </row>
    <row r="431" spans="1:12" ht="12.75">
      <c r="A431" s="22"/>
      <c r="B431" s="22"/>
      <c r="C431" s="22"/>
      <c r="D431" s="22"/>
      <c r="E431" s="22"/>
      <c r="F431" s="22"/>
      <c r="G431" s="1023"/>
      <c r="H431" s="22"/>
      <c r="I431" s="22"/>
      <c r="J431" s="529"/>
      <c r="K431" s="24"/>
      <c r="L431" s="22"/>
    </row>
    <row r="432" spans="1:12" ht="12.75">
      <c r="A432" s="22"/>
      <c r="B432" s="22"/>
      <c r="C432" s="22"/>
      <c r="D432" s="22"/>
      <c r="E432" s="22"/>
      <c r="F432" s="22"/>
      <c r="G432" s="1023"/>
      <c r="H432" s="22"/>
      <c r="I432" s="22"/>
      <c r="J432" s="529"/>
      <c r="K432" s="24"/>
      <c r="L432" s="22"/>
    </row>
    <row r="433" spans="1:12" ht="12.75">
      <c r="A433" s="22"/>
      <c r="B433" s="22"/>
      <c r="C433" s="22"/>
      <c r="D433" s="22"/>
      <c r="E433" s="22"/>
      <c r="F433" s="22"/>
      <c r="G433" s="1023"/>
      <c r="H433" s="22"/>
      <c r="I433" s="22"/>
      <c r="J433" s="529"/>
      <c r="K433" s="24"/>
      <c r="L433" s="22"/>
    </row>
    <row r="434" spans="1:12" ht="12.75">
      <c r="A434" s="22"/>
      <c r="B434" s="22"/>
      <c r="C434" s="22"/>
      <c r="D434" s="22"/>
      <c r="E434" s="22"/>
      <c r="F434" s="22"/>
      <c r="G434" s="1023"/>
      <c r="H434" s="22"/>
      <c r="I434" s="22"/>
      <c r="J434" s="529"/>
      <c r="K434" s="24"/>
      <c r="L434" s="22"/>
    </row>
    <row r="435" spans="1:12" ht="12.75">
      <c r="A435" s="22"/>
      <c r="B435" s="22"/>
      <c r="C435" s="22"/>
      <c r="D435" s="22"/>
      <c r="E435" s="22"/>
      <c r="F435" s="22"/>
      <c r="G435" s="1023"/>
      <c r="H435" s="22"/>
      <c r="I435" s="22"/>
      <c r="J435" s="529"/>
      <c r="K435" s="24"/>
      <c r="L435" s="22"/>
    </row>
    <row r="436" spans="1:12" ht="12.75">
      <c r="A436" s="22"/>
      <c r="B436" s="22"/>
      <c r="C436" s="22"/>
      <c r="D436" s="22"/>
      <c r="E436" s="22"/>
      <c r="F436" s="22"/>
      <c r="G436" s="1023"/>
      <c r="H436" s="22"/>
      <c r="I436" s="22"/>
      <c r="J436" s="529"/>
      <c r="K436" s="24"/>
      <c r="L436" s="22"/>
    </row>
    <row r="437" spans="1:12" ht="12.75">
      <c r="A437" s="22"/>
      <c r="B437" s="22"/>
      <c r="C437" s="22"/>
      <c r="D437" s="22"/>
      <c r="E437" s="22"/>
      <c r="F437" s="22"/>
      <c r="G437" s="1023"/>
      <c r="H437" s="22"/>
      <c r="I437" s="22"/>
      <c r="J437" s="529"/>
      <c r="K437" s="24"/>
      <c r="L437" s="22"/>
    </row>
    <row r="438" spans="1:12" ht="12.75">
      <c r="A438" s="22"/>
      <c r="B438" s="22"/>
      <c r="C438" s="22"/>
      <c r="D438" s="22"/>
      <c r="E438" s="22"/>
      <c r="F438" s="22"/>
      <c r="G438" s="1023"/>
      <c r="H438" s="22"/>
      <c r="I438" s="22"/>
      <c r="J438" s="529"/>
      <c r="K438" s="24"/>
      <c r="L438" s="22"/>
    </row>
    <row r="439" spans="1:12" ht="12.75">
      <c r="A439" s="22"/>
      <c r="B439" s="22"/>
      <c r="C439" s="22"/>
      <c r="D439" s="22"/>
      <c r="E439" s="22"/>
      <c r="F439" s="22"/>
      <c r="G439" s="1023"/>
      <c r="H439" s="22"/>
      <c r="I439" s="22"/>
      <c r="J439" s="529"/>
      <c r="K439" s="24"/>
      <c r="L439" s="22"/>
    </row>
    <row r="440" spans="1:12" ht="12.75">
      <c r="A440" s="22"/>
      <c r="B440" s="22"/>
      <c r="C440" s="22"/>
      <c r="D440" s="22"/>
      <c r="E440" s="22"/>
      <c r="F440" s="22"/>
      <c r="G440" s="1023"/>
      <c r="H440" s="22"/>
      <c r="I440" s="22"/>
      <c r="J440" s="529"/>
      <c r="K440" s="24"/>
      <c r="L440" s="22"/>
    </row>
    <row r="441" spans="1:12" ht="12.75">
      <c r="A441" s="22"/>
      <c r="B441" s="22"/>
      <c r="C441" s="22"/>
      <c r="D441" s="22"/>
      <c r="E441" s="22"/>
      <c r="F441" s="22"/>
      <c r="G441" s="1023"/>
      <c r="H441" s="22"/>
      <c r="I441" s="22"/>
      <c r="J441" s="529"/>
      <c r="K441" s="24"/>
      <c r="L441" s="22"/>
    </row>
    <row r="442" spans="1:12" ht="12.75">
      <c r="A442" s="22"/>
      <c r="B442" s="22"/>
      <c r="C442" s="22"/>
      <c r="D442" s="22"/>
      <c r="E442" s="22"/>
      <c r="F442" s="22"/>
      <c r="G442" s="1023"/>
      <c r="H442" s="22"/>
      <c r="I442" s="22"/>
      <c r="J442" s="529"/>
      <c r="K442" s="24"/>
      <c r="L442" s="22"/>
    </row>
    <row r="443" spans="1:12" ht="12.75">
      <c r="A443" s="22"/>
      <c r="B443" s="22"/>
      <c r="C443" s="22"/>
      <c r="D443" s="22"/>
      <c r="E443" s="22"/>
      <c r="F443" s="22"/>
      <c r="G443" s="1023"/>
      <c r="H443" s="22"/>
      <c r="I443" s="22"/>
      <c r="J443" s="529"/>
      <c r="K443" s="24"/>
      <c r="L443" s="22"/>
    </row>
    <row r="444" spans="1:12" ht="12.75">
      <c r="A444" s="22"/>
      <c r="B444" s="22"/>
      <c r="C444" s="22"/>
      <c r="D444" s="22"/>
      <c r="E444" s="22"/>
      <c r="F444" s="22"/>
      <c r="G444" s="1023"/>
      <c r="H444" s="22"/>
      <c r="I444" s="22"/>
      <c r="J444" s="529"/>
      <c r="K444" s="24"/>
      <c r="L444" s="22"/>
    </row>
    <row r="445" spans="1:12" ht="12.75">
      <c r="A445" s="22"/>
      <c r="B445" s="22"/>
      <c r="C445" s="22"/>
      <c r="D445" s="22"/>
      <c r="E445" s="22"/>
      <c r="F445" s="22"/>
      <c r="G445" s="1023"/>
      <c r="H445" s="22"/>
      <c r="I445" s="22"/>
      <c r="J445" s="529"/>
      <c r="K445" s="24"/>
      <c r="L445" s="22"/>
    </row>
    <row r="446" spans="1:12" ht="12.75">
      <c r="A446" s="22"/>
      <c r="B446" s="22"/>
      <c r="C446" s="22"/>
      <c r="D446" s="22"/>
      <c r="E446" s="22"/>
      <c r="F446" s="22"/>
      <c r="G446" s="1023"/>
      <c r="H446" s="22"/>
      <c r="I446" s="22"/>
      <c r="J446" s="529"/>
      <c r="K446" s="24"/>
      <c r="L446" s="22"/>
    </row>
    <row r="447" spans="1:12" ht="12.75">
      <c r="A447" s="22"/>
      <c r="B447" s="22"/>
      <c r="C447" s="22"/>
      <c r="D447" s="22"/>
      <c r="E447" s="22"/>
      <c r="F447" s="22"/>
      <c r="G447" s="1023"/>
      <c r="H447" s="22"/>
      <c r="I447" s="22"/>
      <c r="J447" s="529"/>
      <c r="K447" s="24"/>
      <c r="L447" s="22"/>
    </row>
    <row r="448" spans="1:12" ht="12.75">
      <c r="A448" s="22"/>
      <c r="B448" s="22"/>
      <c r="C448" s="22"/>
      <c r="D448" s="22"/>
      <c r="E448" s="22"/>
      <c r="F448" s="22"/>
      <c r="G448" s="1023"/>
      <c r="H448" s="22"/>
      <c r="I448" s="22"/>
      <c r="J448" s="529"/>
      <c r="K448" s="24"/>
      <c r="L448" s="22"/>
    </row>
    <row r="449" spans="1:12" ht="12.75">
      <c r="A449" s="22"/>
      <c r="B449" s="22"/>
      <c r="C449" s="22"/>
      <c r="D449" s="22"/>
      <c r="E449" s="22"/>
      <c r="F449" s="22"/>
      <c r="G449" s="1023"/>
      <c r="H449" s="22"/>
      <c r="I449" s="22"/>
      <c r="J449" s="529"/>
      <c r="K449" s="24"/>
      <c r="L449" s="22"/>
    </row>
    <row r="450" spans="1:12" ht="12.75">
      <c r="A450" s="22"/>
      <c r="B450" s="22"/>
      <c r="C450" s="22"/>
      <c r="D450" s="22"/>
      <c r="E450" s="22"/>
      <c r="F450" s="22"/>
      <c r="G450" s="1023"/>
      <c r="H450" s="22"/>
      <c r="I450" s="22"/>
      <c r="J450" s="529"/>
      <c r="K450" s="24"/>
      <c r="L450" s="22"/>
    </row>
    <row r="451" spans="1:12" ht="12.75">
      <c r="A451" s="22"/>
      <c r="B451" s="22"/>
      <c r="C451" s="22"/>
      <c r="D451" s="22"/>
      <c r="E451" s="22"/>
      <c r="F451" s="22"/>
      <c r="G451" s="1023"/>
      <c r="H451" s="22"/>
      <c r="I451" s="22"/>
      <c r="J451" s="529"/>
      <c r="K451" s="24"/>
      <c r="L451" s="22"/>
    </row>
    <row r="452" spans="1:12" ht="12.75">
      <c r="A452" s="22"/>
      <c r="B452" s="22"/>
      <c r="C452" s="22"/>
      <c r="D452" s="22"/>
      <c r="E452" s="22"/>
      <c r="F452" s="22"/>
      <c r="G452" s="1023"/>
      <c r="H452" s="22"/>
      <c r="I452" s="22"/>
      <c r="J452" s="529"/>
      <c r="K452" s="24"/>
      <c r="L452" s="22"/>
    </row>
    <row r="453" spans="1:12" ht="12.75">
      <c r="A453" s="22"/>
      <c r="B453" s="22"/>
      <c r="C453" s="22"/>
      <c r="D453" s="22"/>
      <c r="E453" s="22"/>
      <c r="F453" s="22"/>
      <c r="G453" s="1023"/>
      <c r="H453" s="22"/>
      <c r="I453" s="22"/>
      <c r="J453" s="529"/>
      <c r="K453" s="24"/>
      <c r="L453" s="22"/>
    </row>
    <row r="454" spans="1:12" ht="12.75">
      <c r="A454" s="22"/>
      <c r="B454" s="22"/>
      <c r="C454" s="22"/>
      <c r="D454" s="22"/>
      <c r="E454" s="22"/>
      <c r="F454" s="22"/>
      <c r="G454" s="1023"/>
      <c r="H454" s="22"/>
      <c r="I454" s="22"/>
      <c r="J454" s="529"/>
      <c r="K454" s="24"/>
      <c r="L454" s="22"/>
    </row>
    <row r="455" spans="1:12" ht="12.75">
      <c r="A455" s="22"/>
      <c r="B455" s="22"/>
      <c r="C455" s="22"/>
      <c r="D455" s="22"/>
      <c r="E455" s="22"/>
      <c r="F455" s="22"/>
      <c r="G455" s="1023"/>
      <c r="H455" s="22"/>
      <c r="I455" s="22"/>
      <c r="J455" s="529"/>
      <c r="K455" s="24"/>
      <c r="L455" s="22"/>
    </row>
    <row r="456" spans="1:12" ht="12.75">
      <c r="A456" s="22"/>
      <c r="B456" s="22"/>
      <c r="C456" s="22"/>
      <c r="D456" s="22"/>
      <c r="E456" s="22"/>
      <c r="F456" s="22"/>
      <c r="G456" s="1023"/>
      <c r="H456" s="22"/>
      <c r="I456" s="22"/>
      <c r="J456" s="529"/>
      <c r="K456" s="24"/>
      <c r="L456" s="22"/>
    </row>
    <row r="457" spans="1:12" ht="12.75">
      <c r="A457" s="22"/>
      <c r="B457" s="22"/>
      <c r="C457" s="22"/>
      <c r="D457" s="22"/>
      <c r="E457" s="22"/>
      <c r="F457" s="22"/>
      <c r="G457" s="1023"/>
      <c r="H457" s="22"/>
      <c r="I457" s="22"/>
      <c r="J457" s="529"/>
      <c r="K457" s="24"/>
      <c r="L457" s="22"/>
    </row>
    <row r="458" spans="1:12" ht="12.75">
      <c r="A458" s="22"/>
      <c r="B458" s="22"/>
      <c r="C458" s="22"/>
      <c r="D458" s="22"/>
      <c r="E458" s="22"/>
      <c r="F458" s="22"/>
      <c r="G458" s="1023"/>
      <c r="H458" s="22"/>
      <c r="I458" s="22"/>
      <c r="J458" s="529"/>
      <c r="K458" s="24"/>
      <c r="L458" s="22"/>
    </row>
    <row r="459" spans="1:12" ht="12.75">
      <c r="A459" s="22"/>
      <c r="B459" s="22"/>
      <c r="C459" s="22"/>
      <c r="D459" s="22"/>
      <c r="E459" s="22"/>
      <c r="F459" s="22"/>
      <c r="G459" s="1023"/>
      <c r="H459" s="22"/>
      <c r="I459" s="22"/>
      <c r="J459" s="529"/>
      <c r="K459" s="24"/>
      <c r="L459" s="22"/>
    </row>
    <row r="460" spans="1:12" ht="12.75">
      <c r="A460" s="22"/>
      <c r="B460" s="22"/>
      <c r="C460" s="22"/>
      <c r="D460" s="22"/>
      <c r="E460" s="22"/>
      <c r="F460" s="22"/>
      <c r="G460" s="1023"/>
      <c r="H460" s="22"/>
      <c r="I460" s="22"/>
      <c r="J460" s="529"/>
      <c r="K460" s="24"/>
      <c r="L460" s="22"/>
    </row>
    <row r="461" spans="1:12" ht="12.75">
      <c r="A461" s="22"/>
      <c r="B461" s="22"/>
      <c r="C461" s="22"/>
      <c r="D461" s="22"/>
      <c r="E461" s="22"/>
      <c r="F461" s="22"/>
      <c r="G461" s="1023"/>
      <c r="H461" s="22"/>
      <c r="I461" s="22"/>
      <c r="J461" s="529"/>
      <c r="K461" s="24"/>
      <c r="L461" s="22"/>
    </row>
    <row r="462" spans="1:12" ht="12.75">
      <c r="A462" s="22"/>
      <c r="B462" s="22"/>
      <c r="C462" s="22"/>
      <c r="D462" s="22"/>
      <c r="E462" s="22"/>
      <c r="F462" s="22"/>
      <c r="G462" s="1023"/>
      <c r="H462" s="22"/>
      <c r="I462" s="22"/>
      <c r="J462" s="529"/>
      <c r="K462" s="24"/>
      <c r="L462" s="22"/>
    </row>
    <row r="463" spans="1:12" ht="12.75">
      <c r="A463" s="22"/>
      <c r="B463" s="22"/>
      <c r="C463" s="22"/>
      <c r="D463" s="22"/>
      <c r="E463" s="22"/>
      <c r="F463" s="22"/>
      <c r="G463" s="1023"/>
      <c r="H463" s="22"/>
      <c r="I463" s="22"/>
      <c r="J463" s="529"/>
      <c r="K463" s="24"/>
      <c r="L463" s="22"/>
    </row>
    <row r="464" spans="1:12" ht="12.75">
      <c r="A464" s="22"/>
      <c r="B464" s="22"/>
      <c r="C464" s="22"/>
      <c r="D464" s="22"/>
      <c r="E464" s="22"/>
      <c r="F464" s="22"/>
      <c r="G464" s="1023"/>
      <c r="H464" s="22"/>
      <c r="I464" s="22"/>
      <c r="J464" s="529"/>
      <c r="K464" s="24"/>
      <c r="L464" s="22"/>
    </row>
    <row r="465" spans="1:12" ht="12.75">
      <c r="A465" s="22"/>
      <c r="B465" s="22"/>
      <c r="C465" s="22"/>
      <c r="D465" s="22"/>
      <c r="E465" s="22"/>
      <c r="F465" s="22"/>
      <c r="G465" s="1023"/>
      <c r="H465" s="22"/>
      <c r="I465" s="22"/>
      <c r="J465" s="529"/>
      <c r="K465" s="24"/>
      <c r="L465" s="22"/>
    </row>
    <row r="466" spans="1:12" ht="12.75">
      <c r="A466" s="22"/>
      <c r="B466" s="22"/>
      <c r="C466" s="22"/>
      <c r="D466" s="22"/>
      <c r="E466" s="22"/>
      <c r="F466" s="22"/>
      <c r="G466" s="1023"/>
      <c r="H466" s="22"/>
      <c r="I466" s="22"/>
      <c r="J466" s="529"/>
      <c r="K466" s="24"/>
      <c r="L466" s="22"/>
    </row>
    <row r="467" spans="1:12" ht="12.75">
      <c r="A467" s="22"/>
      <c r="B467" s="22"/>
      <c r="C467" s="22"/>
      <c r="D467" s="22"/>
      <c r="E467" s="22"/>
      <c r="F467" s="22"/>
      <c r="G467" s="1023"/>
      <c r="H467" s="22"/>
      <c r="I467" s="22"/>
      <c r="J467" s="529"/>
      <c r="K467" s="24"/>
      <c r="L467" s="22"/>
    </row>
    <row r="468" spans="1:12" ht="12.75">
      <c r="A468" s="22"/>
      <c r="B468" s="22"/>
      <c r="C468" s="22"/>
      <c r="D468" s="22"/>
      <c r="E468" s="22"/>
      <c r="F468" s="22"/>
      <c r="G468" s="1023"/>
      <c r="H468" s="22"/>
      <c r="I468" s="22"/>
      <c r="J468" s="529"/>
      <c r="K468" s="24"/>
      <c r="L468" s="22"/>
    </row>
    <row r="469" spans="1:12" ht="12.75">
      <c r="A469" s="22"/>
      <c r="B469" s="22"/>
      <c r="C469" s="22"/>
      <c r="D469" s="22"/>
      <c r="E469" s="22"/>
      <c r="F469" s="22"/>
      <c r="G469" s="1023"/>
      <c r="H469" s="22"/>
      <c r="I469" s="22"/>
      <c r="J469" s="529"/>
      <c r="K469" s="24"/>
      <c r="L469" s="22"/>
    </row>
    <row r="470" spans="1:12" ht="12.75">
      <c r="A470" s="22"/>
      <c r="B470" s="22"/>
      <c r="C470" s="22"/>
      <c r="D470" s="22"/>
      <c r="E470" s="22"/>
      <c r="F470" s="22"/>
      <c r="G470" s="1023"/>
      <c r="H470" s="22"/>
      <c r="I470" s="22"/>
      <c r="J470" s="529"/>
      <c r="K470" s="24"/>
      <c r="L470" s="22"/>
    </row>
    <row r="471" spans="1:12" ht="12.75">
      <c r="A471" s="22"/>
      <c r="B471" s="22"/>
      <c r="C471" s="22"/>
      <c r="D471" s="22"/>
      <c r="E471" s="22"/>
      <c r="F471" s="22"/>
      <c r="G471" s="1023"/>
      <c r="H471" s="22"/>
      <c r="I471" s="22"/>
      <c r="J471" s="529"/>
      <c r="K471" s="24"/>
      <c r="L471" s="22"/>
    </row>
    <row r="472" spans="1:12" ht="12.75">
      <c r="A472" s="22"/>
      <c r="B472" s="22"/>
      <c r="C472" s="22"/>
      <c r="D472" s="22"/>
      <c r="E472" s="22"/>
      <c r="F472" s="22"/>
      <c r="G472" s="1023"/>
      <c r="H472" s="22"/>
      <c r="I472" s="22"/>
      <c r="J472" s="529"/>
      <c r="K472" s="24"/>
      <c r="L472" s="22"/>
    </row>
    <row r="473" spans="1:12" ht="12.75">
      <c r="A473" s="22"/>
      <c r="B473" s="22"/>
      <c r="C473" s="22"/>
      <c r="D473" s="22"/>
      <c r="E473" s="22"/>
      <c r="F473" s="22"/>
      <c r="G473" s="1023"/>
      <c r="H473" s="22"/>
      <c r="I473" s="22"/>
      <c r="J473" s="529"/>
      <c r="K473" s="24"/>
      <c r="L473" s="22"/>
    </row>
    <row r="474" spans="1:12" ht="12.75">
      <c r="A474" s="22"/>
      <c r="B474" s="22"/>
      <c r="C474" s="22"/>
      <c r="D474" s="22"/>
      <c r="E474" s="22"/>
      <c r="F474" s="22"/>
      <c r="G474" s="1023"/>
      <c r="H474" s="22"/>
      <c r="I474" s="22"/>
      <c r="J474" s="529"/>
      <c r="K474" s="24"/>
      <c r="L474" s="22"/>
    </row>
    <row r="475" spans="1:12" ht="12.75">
      <c r="A475" s="22"/>
      <c r="B475" s="22"/>
      <c r="C475" s="22"/>
      <c r="D475" s="22"/>
      <c r="E475" s="22"/>
      <c r="F475" s="22"/>
      <c r="G475" s="1023"/>
      <c r="H475" s="22"/>
      <c r="I475" s="22"/>
      <c r="J475" s="529"/>
      <c r="K475" s="24"/>
      <c r="L475" s="22"/>
    </row>
    <row r="476" spans="1:12" ht="12.75">
      <c r="A476" s="22"/>
      <c r="B476" s="22"/>
      <c r="C476" s="22"/>
      <c r="D476" s="22"/>
      <c r="E476" s="22"/>
      <c r="F476" s="22"/>
      <c r="G476" s="1023"/>
      <c r="H476" s="22"/>
      <c r="I476" s="22"/>
      <c r="J476" s="529"/>
      <c r="K476" s="24"/>
      <c r="L476" s="22"/>
    </row>
    <row r="477" spans="1:12" ht="12.75">
      <c r="A477" s="22"/>
      <c r="B477" s="22"/>
      <c r="C477" s="22"/>
      <c r="D477" s="22"/>
      <c r="E477" s="22"/>
      <c r="F477" s="22"/>
      <c r="G477" s="1023"/>
      <c r="H477" s="22"/>
      <c r="I477" s="22"/>
      <c r="J477" s="529"/>
      <c r="K477" s="24"/>
      <c r="L477" s="22"/>
    </row>
    <row r="478" spans="1:12" ht="12.75">
      <c r="A478" s="22"/>
      <c r="B478" s="22"/>
      <c r="C478" s="22"/>
      <c r="D478" s="22"/>
      <c r="E478" s="22"/>
      <c r="F478" s="22"/>
      <c r="G478" s="1023"/>
      <c r="H478" s="22"/>
      <c r="I478" s="22"/>
      <c r="J478" s="529"/>
      <c r="K478" s="24"/>
      <c r="L478" s="22"/>
    </row>
    <row r="479" spans="1:12" ht="12.75">
      <c r="A479" s="22"/>
      <c r="B479" s="22"/>
      <c r="C479" s="22"/>
      <c r="D479" s="22"/>
      <c r="E479" s="22"/>
      <c r="F479" s="22"/>
      <c r="G479" s="1023"/>
      <c r="H479" s="22"/>
      <c r="I479" s="22"/>
      <c r="J479" s="529"/>
      <c r="K479" s="24"/>
      <c r="L479" s="22"/>
    </row>
    <row r="480" spans="1:12" ht="12.75">
      <c r="A480" s="22"/>
      <c r="B480" s="22"/>
      <c r="C480" s="22"/>
      <c r="D480" s="22"/>
      <c r="E480" s="22"/>
      <c r="F480" s="22"/>
      <c r="G480" s="1023"/>
      <c r="H480" s="22"/>
      <c r="I480" s="22"/>
      <c r="J480" s="529"/>
      <c r="K480" s="24"/>
      <c r="L480" s="22"/>
    </row>
    <row r="481" spans="1:12" ht="12.75">
      <c r="A481" s="22"/>
      <c r="B481" s="22"/>
      <c r="C481" s="22"/>
      <c r="D481" s="22"/>
      <c r="E481" s="22"/>
      <c r="F481" s="22"/>
      <c r="G481" s="1023"/>
      <c r="H481" s="22"/>
      <c r="I481" s="22"/>
      <c r="J481" s="529"/>
      <c r="K481" s="24"/>
      <c r="L481" s="22"/>
    </row>
    <row r="482" spans="1:12" ht="12.75">
      <c r="A482" s="22"/>
      <c r="B482" s="22"/>
      <c r="C482" s="22"/>
      <c r="D482" s="22"/>
      <c r="E482" s="22"/>
      <c r="F482" s="22"/>
      <c r="G482" s="1023"/>
      <c r="H482" s="22"/>
      <c r="I482" s="22"/>
      <c r="J482" s="529"/>
      <c r="K482" s="24"/>
      <c r="L482" s="22"/>
    </row>
    <row r="483" spans="1:12" ht="12.75">
      <c r="A483" s="22"/>
      <c r="B483" s="22"/>
      <c r="C483" s="22"/>
      <c r="D483" s="22"/>
      <c r="E483" s="22"/>
      <c r="F483" s="22"/>
      <c r="G483" s="1023"/>
      <c r="H483" s="22"/>
      <c r="I483" s="22"/>
      <c r="J483" s="529"/>
      <c r="K483" s="24"/>
      <c r="L483" s="22"/>
    </row>
    <row r="484" spans="1:12" ht="12.75">
      <c r="A484" s="22"/>
      <c r="B484" s="22"/>
      <c r="C484" s="22"/>
      <c r="D484" s="22"/>
      <c r="E484" s="22"/>
      <c r="F484" s="22"/>
      <c r="G484" s="1023"/>
      <c r="H484" s="22"/>
      <c r="I484" s="22"/>
      <c r="J484" s="529"/>
      <c r="K484" s="24"/>
      <c r="L484" s="22"/>
    </row>
    <row r="485" spans="1:12" ht="12.75">
      <c r="A485" s="22"/>
      <c r="B485" s="22"/>
      <c r="C485" s="22"/>
      <c r="D485" s="22"/>
      <c r="E485" s="22"/>
      <c r="F485" s="22"/>
      <c r="G485" s="1023"/>
      <c r="H485" s="22"/>
      <c r="I485" s="22"/>
      <c r="J485" s="529"/>
      <c r="K485" s="24"/>
      <c r="L485" s="22"/>
    </row>
    <row r="486" spans="1:12" ht="12.75">
      <c r="A486" s="22"/>
      <c r="B486" s="22"/>
      <c r="C486" s="22"/>
      <c r="D486" s="22"/>
      <c r="E486" s="22"/>
      <c r="F486" s="22"/>
      <c r="G486" s="1023"/>
      <c r="H486" s="22"/>
      <c r="I486" s="22"/>
      <c r="J486" s="529"/>
      <c r="K486" s="24"/>
      <c r="L486" s="22"/>
    </row>
    <row r="487" spans="1:12" ht="12.75">
      <c r="A487" s="22"/>
      <c r="B487" s="22"/>
      <c r="C487" s="22"/>
      <c r="D487" s="22"/>
      <c r="E487" s="22"/>
      <c r="F487" s="22"/>
      <c r="G487" s="1023"/>
      <c r="H487" s="22"/>
      <c r="I487" s="22"/>
      <c r="J487" s="529"/>
      <c r="K487" s="24"/>
      <c r="L487" s="22"/>
    </row>
    <row r="488" spans="1:12" ht="12.75">
      <c r="A488" s="22"/>
      <c r="B488" s="22"/>
      <c r="C488" s="22"/>
      <c r="D488" s="22"/>
      <c r="E488" s="22"/>
      <c r="F488" s="22"/>
      <c r="G488" s="1023"/>
      <c r="H488" s="22"/>
      <c r="I488" s="22"/>
      <c r="J488" s="529"/>
      <c r="K488" s="24"/>
      <c r="L488" s="22"/>
    </row>
    <row r="489" spans="1:12" ht="12.75">
      <c r="A489" s="22"/>
      <c r="B489" s="22"/>
      <c r="C489" s="22"/>
      <c r="D489" s="22"/>
      <c r="E489" s="22"/>
      <c r="F489" s="22"/>
      <c r="G489" s="1023"/>
      <c r="H489" s="22"/>
      <c r="I489" s="22"/>
      <c r="J489" s="529"/>
      <c r="K489" s="24"/>
      <c r="L489" s="22"/>
    </row>
    <row r="490" spans="1:12" ht="12.75">
      <c r="A490" s="22"/>
      <c r="B490" s="22"/>
      <c r="C490" s="22"/>
      <c r="D490" s="22"/>
      <c r="E490" s="22"/>
      <c r="F490" s="22"/>
      <c r="G490" s="1023"/>
      <c r="H490" s="22"/>
      <c r="I490" s="22"/>
      <c r="J490" s="529"/>
      <c r="K490" s="24"/>
      <c r="L490" s="22"/>
    </row>
    <row r="491" spans="1:12" ht="12.75">
      <c r="A491" s="22"/>
      <c r="B491" s="22"/>
      <c r="C491" s="22"/>
      <c r="D491" s="22"/>
      <c r="E491" s="22"/>
      <c r="F491" s="22"/>
      <c r="G491" s="1023"/>
      <c r="H491" s="22"/>
      <c r="I491" s="22"/>
      <c r="J491" s="529"/>
      <c r="K491" s="24"/>
      <c r="L491" s="22"/>
    </row>
    <row r="492" spans="1:12" ht="12.75">
      <c r="A492" s="22"/>
      <c r="B492" s="22"/>
      <c r="C492" s="22"/>
      <c r="D492" s="22"/>
      <c r="E492" s="22"/>
      <c r="F492" s="22"/>
      <c r="G492" s="1023"/>
      <c r="H492" s="22"/>
      <c r="I492" s="22"/>
      <c r="J492" s="529"/>
      <c r="K492" s="24"/>
      <c r="L492" s="22"/>
    </row>
    <row r="493" spans="1:12" ht="12.75">
      <c r="A493" s="22"/>
      <c r="B493" s="22"/>
      <c r="C493" s="22"/>
      <c r="D493" s="22"/>
      <c r="E493" s="22"/>
      <c r="F493" s="22"/>
      <c r="G493" s="1023"/>
      <c r="H493" s="22"/>
      <c r="I493" s="22"/>
      <c r="J493" s="529"/>
      <c r="K493" s="24"/>
      <c r="L493" s="22"/>
    </row>
    <row r="494" spans="1:12" ht="12.75">
      <c r="A494" s="22"/>
      <c r="B494" s="22"/>
      <c r="C494" s="22"/>
      <c r="D494" s="22"/>
      <c r="E494" s="22"/>
      <c r="F494" s="22"/>
      <c r="G494" s="1023"/>
      <c r="H494" s="22"/>
      <c r="I494" s="22"/>
      <c r="J494" s="529"/>
      <c r="K494" s="24"/>
      <c r="L494" s="22"/>
    </row>
    <row r="495" spans="1:12" ht="12.75">
      <c r="A495" s="22"/>
      <c r="B495" s="22"/>
      <c r="C495" s="22"/>
      <c r="D495" s="22"/>
      <c r="E495" s="22"/>
      <c r="F495" s="22"/>
      <c r="G495" s="1023"/>
      <c r="H495" s="22"/>
      <c r="I495" s="22"/>
      <c r="J495" s="529"/>
      <c r="K495" s="24"/>
      <c r="L495" s="22"/>
    </row>
    <row r="496" spans="1:12" ht="12.75">
      <c r="A496" s="22"/>
      <c r="B496" s="22"/>
      <c r="C496" s="22"/>
      <c r="D496" s="22"/>
      <c r="E496" s="22"/>
      <c r="F496" s="22"/>
      <c r="G496" s="1023"/>
      <c r="H496" s="22"/>
      <c r="I496" s="22"/>
      <c r="J496" s="529"/>
      <c r="K496" s="24"/>
      <c r="L496" s="22"/>
    </row>
    <row r="497" spans="1:12" ht="12.75">
      <c r="A497" s="22"/>
      <c r="B497" s="22"/>
      <c r="C497" s="22"/>
      <c r="D497" s="22"/>
      <c r="E497" s="22"/>
      <c r="F497" s="22"/>
      <c r="G497" s="1023"/>
      <c r="H497" s="22"/>
      <c r="I497" s="22"/>
      <c r="J497" s="529"/>
      <c r="K497" s="24"/>
      <c r="L497" s="22"/>
    </row>
    <row r="498" spans="1:12" ht="12.75">
      <c r="A498" s="22"/>
      <c r="B498" s="22"/>
      <c r="C498" s="22"/>
      <c r="D498" s="22"/>
      <c r="E498" s="22"/>
      <c r="F498" s="22"/>
      <c r="G498" s="1023"/>
      <c r="H498" s="22"/>
      <c r="I498" s="22"/>
      <c r="J498" s="529"/>
      <c r="K498" s="24"/>
      <c r="L498" s="22"/>
    </row>
    <row r="499" spans="1:12" ht="12.75">
      <c r="A499" s="22"/>
      <c r="B499" s="22"/>
      <c r="C499" s="22"/>
      <c r="D499" s="22"/>
      <c r="E499" s="22"/>
      <c r="F499" s="22"/>
      <c r="G499" s="1023"/>
      <c r="H499" s="22"/>
      <c r="I499" s="22"/>
      <c r="J499" s="529"/>
      <c r="K499" s="24"/>
      <c r="L499" s="22"/>
    </row>
    <row r="500" spans="1:12" ht="12.75">
      <c r="A500" s="22"/>
      <c r="B500" s="22"/>
      <c r="C500" s="22"/>
      <c r="D500" s="22"/>
      <c r="E500" s="22"/>
      <c r="F500" s="22"/>
      <c r="G500" s="1023"/>
      <c r="H500" s="22"/>
      <c r="I500" s="22"/>
      <c r="J500" s="529"/>
      <c r="K500" s="24"/>
      <c r="L500" s="22"/>
    </row>
    <row r="501" spans="1:12" ht="12.75">
      <c r="A501" s="22"/>
      <c r="B501" s="22"/>
      <c r="C501" s="22"/>
      <c r="D501" s="22"/>
      <c r="E501" s="22"/>
      <c r="F501" s="22"/>
      <c r="G501" s="1023"/>
      <c r="H501" s="22"/>
      <c r="I501" s="22"/>
      <c r="J501" s="529"/>
      <c r="K501" s="24"/>
      <c r="L501" s="22"/>
    </row>
    <row r="502" spans="1:12" ht="12.75">
      <c r="A502" s="22"/>
      <c r="B502" s="22"/>
      <c r="C502" s="22"/>
      <c r="D502" s="22"/>
      <c r="E502" s="22"/>
      <c r="F502" s="22"/>
      <c r="G502" s="1023"/>
      <c r="H502" s="22"/>
      <c r="I502" s="22"/>
      <c r="J502" s="529"/>
      <c r="K502" s="24"/>
      <c r="L502" s="22"/>
    </row>
    <row r="503" spans="1:12" ht="12.75">
      <c r="A503" s="22"/>
      <c r="B503" s="22"/>
      <c r="C503" s="22"/>
      <c r="D503" s="22"/>
      <c r="E503" s="22"/>
      <c r="F503" s="22"/>
      <c r="G503" s="1023"/>
      <c r="H503" s="22"/>
      <c r="I503" s="22"/>
      <c r="J503" s="529"/>
      <c r="K503" s="24"/>
      <c r="L503" s="22"/>
    </row>
    <row r="504" spans="1:12" ht="12.75">
      <c r="A504" s="22"/>
      <c r="B504" s="22"/>
      <c r="C504" s="22"/>
      <c r="D504" s="22"/>
      <c r="E504" s="22"/>
      <c r="F504" s="22"/>
      <c r="G504" s="1023"/>
      <c r="H504" s="22"/>
      <c r="I504" s="22"/>
      <c r="J504" s="529"/>
      <c r="K504" s="24"/>
      <c r="L504" s="22"/>
    </row>
    <row r="505" spans="1:12" ht="12.75">
      <c r="A505" s="22"/>
      <c r="B505" s="22"/>
      <c r="C505" s="22"/>
      <c r="D505" s="22"/>
      <c r="E505" s="22"/>
      <c r="F505" s="22"/>
      <c r="G505" s="1023"/>
      <c r="H505" s="22"/>
      <c r="I505" s="22"/>
      <c r="J505" s="529"/>
      <c r="K505" s="24"/>
      <c r="L505" s="22"/>
    </row>
    <row r="506" spans="1:12" ht="12.75">
      <c r="A506" s="22"/>
      <c r="B506" s="22"/>
      <c r="C506" s="22"/>
      <c r="D506" s="22"/>
      <c r="E506" s="22"/>
      <c r="F506" s="22"/>
      <c r="G506" s="1023"/>
      <c r="H506" s="22"/>
      <c r="I506" s="22"/>
      <c r="J506" s="529"/>
      <c r="K506" s="24"/>
      <c r="L506" s="22"/>
    </row>
    <row r="507" spans="1:12" ht="12.75">
      <c r="A507" s="22"/>
      <c r="B507" s="22"/>
      <c r="C507" s="22"/>
      <c r="D507" s="22"/>
      <c r="E507" s="22"/>
      <c r="F507" s="22"/>
      <c r="G507" s="1023"/>
      <c r="H507" s="22"/>
      <c r="I507" s="22"/>
      <c r="J507" s="529"/>
      <c r="K507" s="24"/>
      <c r="L507" s="22"/>
    </row>
    <row r="508" spans="1:12" ht="12.75">
      <c r="A508" s="22"/>
      <c r="B508" s="22"/>
      <c r="C508" s="22"/>
      <c r="D508" s="22"/>
      <c r="E508" s="22"/>
      <c r="F508" s="22"/>
      <c r="G508" s="1023"/>
      <c r="H508" s="22"/>
      <c r="I508" s="22"/>
      <c r="J508" s="529"/>
      <c r="K508" s="24"/>
      <c r="L508" s="22"/>
    </row>
    <row r="509" spans="1:12" ht="12.75">
      <c r="A509" s="22"/>
      <c r="B509" s="22"/>
      <c r="C509" s="22"/>
      <c r="D509" s="22"/>
      <c r="E509" s="22"/>
      <c r="F509" s="22"/>
      <c r="G509" s="1023"/>
      <c r="H509" s="22"/>
      <c r="I509" s="22"/>
      <c r="J509" s="529"/>
      <c r="K509" s="24"/>
      <c r="L509" s="22"/>
    </row>
    <row r="510" spans="1:12" ht="12.75">
      <c r="A510" s="22"/>
      <c r="B510" s="22"/>
      <c r="C510" s="22"/>
      <c r="D510" s="22"/>
      <c r="E510" s="22"/>
      <c r="F510" s="22"/>
      <c r="G510" s="1023"/>
      <c r="H510" s="22"/>
      <c r="I510" s="22"/>
      <c r="J510" s="529"/>
      <c r="K510" s="24"/>
      <c r="L510" s="22"/>
    </row>
    <row r="511" spans="1:12" ht="12.75">
      <c r="A511" s="22"/>
      <c r="B511" s="22"/>
      <c r="C511" s="22"/>
      <c r="D511" s="22"/>
      <c r="E511" s="22"/>
      <c r="F511" s="22"/>
      <c r="G511" s="1023"/>
      <c r="H511" s="22"/>
      <c r="I511" s="22"/>
      <c r="J511" s="529"/>
      <c r="K511" s="24"/>
      <c r="L511" s="22"/>
    </row>
    <row r="512" spans="1:12" ht="12.75">
      <c r="A512" s="22"/>
      <c r="B512" s="22"/>
      <c r="C512" s="22"/>
      <c r="D512" s="22"/>
      <c r="E512" s="22"/>
      <c r="F512" s="22"/>
      <c r="G512" s="1023"/>
      <c r="H512" s="22"/>
      <c r="I512" s="22"/>
      <c r="J512" s="529"/>
      <c r="K512" s="24"/>
      <c r="L512" s="22"/>
    </row>
    <row r="513" spans="1:12" ht="12.75">
      <c r="A513" s="22"/>
      <c r="B513" s="22"/>
      <c r="C513" s="22"/>
      <c r="D513" s="22"/>
      <c r="E513" s="22"/>
      <c r="F513" s="22"/>
      <c r="G513" s="1023"/>
      <c r="H513" s="22"/>
      <c r="I513" s="22"/>
      <c r="J513" s="529"/>
      <c r="K513" s="24"/>
      <c r="L513" s="22"/>
    </row>
    <row r="514" spans="1:12" ht="12.75">
      <c r="A514" s="22"/>
      <c r="B514" s="22"/>
      <c r="C514" s="22"/>
      <c r="D514" s="22"/>
      <c r="E514" s="22"/>
      <c r="F514" s="22"/>
      <c r="G514" s="1023"/>
      <c r="H514" s="22"/>
      <c r="I514" s="22"/>
      <c r="J514" s="529"/>
      <c r="K514" s="24"/>
      <c r="L514" s="22"/>
    </row>
    <row r="515" spans="1:12" ht="12.75">
      <c r="A515" s="22"/>
      <c r="B515" s="22"/>
      <c r="C515" s="22"/>
      <c r="D515" s="22"/>
      <c r="E515" s="22"/>
      <c r="F515" s="22"/>
      <c r="G515" s="1023"/>
      <c r="H515" s="22"/>
      <c r="I515" s="22"/>
      <c r="J515" s="529"/>
      <c r="K515" s="24"/>
      <c r="L515" s="22"/>
    </row>
    <row r="516" spans="1:12" ht="12.75">
      <c r="A516" s="22"/>
      <c r="B516" s="22"/>
      <c r="C516" s="22"/>
      <c r="D516" s="22"/>
      <c r="E516" s="22"/>
      <c r="F516" s="22"/>
      <c r="G516" s="1023"/>
      <c r="H516" s="22"/>
      <c r="I516" s="22"/>
      <c r="J516" s="529"/>
      <c r="K516" s="24"/>
      <c r="L516" s="22"/>
    </row>
    <row r="517" spans="1:12" ht="12.75">
      <c r="A517" s="22"/>
      <c r="B517" s="22"/>
      <c r="C517" s="22"/>
      <c r="D517" s="22"/>
      <c r="E517" s="22"/>
      <c r="F517" s="22"/>
      <c r="G517" s="1023"/>
      <c r="H517" s="22"/>
      <c r="I517" s="22"/>
      <c r="J517" s="529"/>
      <c r="K517" s="24"/>
      <c r="L517" s="22"/>
    </row>
    <row r="518" spans="1:12" ht="12.75">
      <c r="A518" s="22"/>
      <c r="B518" s="22"/>
      <c r="C518" s="22"/>
      <c r="D518" s="22"/>
      <c r="E518" s="22"/>
      <c r="F518" s="22"/>
      <c r="G518" s="1023"/>
      <c r="H518" s="22"/>
      <c r="I518" s="22"/>
      <c r="J518" s="529"/>
      <c r="K518" s="24"/>
      <c r="L518" s="22"/>
    </row>
    <row r="519" spans="1:12" ht="12.75">
      <c r="A519" s="22"/>
      <c r="B519" s="22"/>
      <c r="C519" s="22"/>
      <c r="D519" s="22"/>
      <c r="E519" s="22"/>
      <c r="F519" s="22"/>
      <c r="G519" s="1023"/>
      <c r="H519" s="22"/>
      <c r="I519" s="22"/>
      <c r="J519" s="529"/>
      <c r="K519" s="24"/>
      <c r="L519" s="22"/>
    </row>
    <row r="520" spans="1:12" ht="12.75">
      <c r="A520" s="22"/>
      <c r="B520" s="22"/>
      <c r="C520" s="22"/>
      <c r="D520" s="22"/>
      <c r="E520" s="22"/>
      <c r="F520" s="22"/>
      <c r="G520" s="1023"/>
      <c r="H520" s="22"/>
      <c r="I520" s="22"/>
      <c r="J520" s="529"/>
      <c r="K520" s="24"/>
      <c r="L520" s="22"/>
    </row>
    <row r="521" spans="1:12" ht="12.75">
      <c r="A521" s="22"/>
      <c r="B521" s="22"/>
      <c r="C521" s="22"/>
      <c r="D521" s="22"/>
      <c r="E521" s="22"/>
      <c r="F521" s="22"/>
      <c r="G521" s="1023"/>
      <c r="H521" s="22"/>
      <c r="I521" s="22"/>
      <c r="J521" s="529"/>
      <c r="K521" s="24"/>
      <c r="L521" s="22"/>
    </row>
    <row r="522" spans="1:12" ht="12.75">
      <c r="A522" s="22"/>
      <c r="B522" s="22"/>
      <c r="C522" s="22"/>
      <c r="D522" s="22"/>
      <c r="E522" s="22"/>
      <c r="F522" s="22"/>
      <c r="G522" s="1023"/>
      <c r="H522" s="22"/>
      <c r="I522" s="22"/>
      <c r="J522" s="529"/>
      <c r="K522" s="24"/>
      <c r="L522" s="22"/>
    </row>
    <row r="523" spans="1:12" ht="12.75">
      <c r="A523" s="22"/>
      <c r="B523" s="22"/>
      <c r="C523" s="22"/>
      <c r="D523" s="22"/>
      <c r="E523" s="22"/>
      <c r="F523" s="22"/>
      <c r="G523" s="1023"/>
      <c r="H523" s="22"/>
      <c r="I523" s="22"/>
      <c r="J523" s="529"/>
      <c r="K523" s="24"/>
      <c r="L523" s="22"/>
    </row>
    <row r="524" spans="1:12" ht="12.75">
      <c r="A524" s="22"/>
      <c r="B524" s="22"/>
      <c r="C524" s="22"/>
      <c r="D524" s="22"/>
      <c r="E524" s="22"/>
      <c r="F524" s="22"/>
      <c r="G524" s="1023"/>
      <c r="H524" s="22"/>
      <c r="I524" s="22"/>
      <c r="J524" s="529"/>
      <c r="K524" s="24"/>
      <c r="L524" s="22"/>
    </row>
    <row r="525" spans="1:12" ht="12.75">
      <c r="A525" s="22"/>
      <c r="B525" s="22"/>
      <c r="C525" s="22"/>
      <c r="D525" s="22"/>
      <c r="E525" s="22"/>
      <c r="F525" s="22"/>
      <c r="G525" s="1023"/>
      <c r="H525" s="22"/>
      <c r="I525" s="22"/>
      <c r="J525" s="529"/>
      <c r="K525" s="24"/>
      <c r="L525" s="22"/>
    </row>
    <row r="526" spans="1:12" ht="12.75">
      <c r="A526" s="22"/>
      <c r="B526" s="22"/>
      <c r="C526" s="22"/>
      <c r="D526" s="22"/>
      <c r="E526" s="22"/>
      <c r="F526" s="22"/>
      <c r="G526" s="1023"/>
      <c r="H526" s="22"/>
      <c r="I526" s="22"/>
      <c r="J526" s="529"/>
      <c r="K526" s="24"/>
      <c r="L526" s="22"/>
    </row>
    <row r="527" spans="1:12" ht="12.75">
      <c r="A527" s="22"/>
      <c r="B527" s="22"/>
      <c r="C527" s="22"/>
      <c r="D527" s="22"/>
      <c r="E527" s="22"/>
      <c r="F527" s="22"/>
      <c r="G527" s="1023"/>
      <c r="H527" s="22"/>
      <c r="I527" s="22"/>
      <c r="J527" s="529"/>
      <c r="K527" s="24"/>
      <c r="L527" s="22"/>
    </row>
    <row r="528" spans="1:12" ht="12.75">
      <c r="A528" s="22"/>
      <c r="B528" s="22"/>
      <c r="C528" s="22"/>
      <c r="D528" s="22"/>
      <c r="E528" s="22"/>
      <c r="F528" s="22"/>
      <c r="G528" s="1023"/>
      <c r="H528" s="22"/>
      <c r="I528" s="22"/>
      <c r="J528" s="529"/>
      <c r="K528" s="24"/>
      <c r="L528" s="22"/>
    </row>
    <row r="529" spans="1:12" ht="12.75">
      <c r="A529" s="22"/>
      <c r="B529" s="22"/>
      <c r="C529" s="22"/>
      <c r="D529" s="22"/>
      <c r="E529" s="22"/>
      <c r="F529" s="22"/>
      <c r="G529" s="1023"/>
      <c r="H529" s="22"/>
      <c r="I529" s="22"/>
      <c r="J529" s="529"/>
      <c r="K529" s="24"/>
      <c r="L529" s="22"/>
    </row>
    <row r="530" spans="1:12" ht="12.75">
      <c r="A530" s="22"/>
      <c r="B530" s="22"/>
      <c r="C530" s="22"/>
      <c r="D530" s="22"/>
      <c r="E530" s="22"/>
      <c r="F530" s="22"/>
      <c r="G530" s="1023"/>
      <c r="H530" s="22"/>
      <c r="I530" s="22"/>
      <c r="J530" s="529"/>
      <c r="K530" s="24"/>
      <c r="L530" s="22"/>
    </row>
    <row r="531" spans="1:12" ht="12.75">
      <c r="A531" s="22"/>
      <c r="B531" s="22"/>
      <c r="C531" s="22"/>
      <c r="D531" s="22"/>
      <c r="E531" s="22"/>
      <c r="F531" s="22"/>
      <c r="G531" s="1023"/>
      <c r="H531" s="22"/>
      <c r="I531" s="22"/>
      <c r="J531" s="529"/>
      <c r="K531" s="24"/>
      <c r="L531" s="22"/>
    </row>
    <row r="532" spans="1:12" ht="12.75">
      <c r="A532" s="22"/>
      <c r="B532" s="22"/>
      <c r="C532" s="22"/>
      <c r="D532" s="22"/>
      <c r="E532" s="22"/>
      <c r="F532" s="22"/>
      <c r="G532" s="1023"/>
      <c r="H532" s="22"/>
      <c r="I532" s="22"/>
      <c r="J532" s="529"/>
      <c r="K532" s="24"/>
      <c r="L532" s="22"/>
    </row>
    <row r="533" spans="1:12" ht="12.75">
      <c r="A533" s="22"/>
      <c r="B533" s="22"/>
      <c r="C533" s="22"/>
      <c r="D533" s="22"/>
      <c r="E533" s="22"/>
      <c r="F533" s="22"/>
      <c r="G533" s="1023"/>
      <c r="H533" s="22"/>
      <c r="I533" s="22"/>
      <c r="J533" s="529"/>
      <c r="K533" s="24"/>
      <c r="L533" s="22"/>
    </row>
    <row r="534" spans="1:12" ht="12.75">
      <c r="A534" s="22"/>
      <c r="B534" s="22"/>
      <c r="C534" s="22"/>
      <c r="D534" s="22"/>
      <c r="E534" s="22"/>
      <c r="F534" s="22"/>
      <c r="G534" s="1023"/>
      <c r="H534" s="22"/>
      <c r="I534" s="22"/>
      <c r="J534" s="529"/>
      <c r="K534" s="24"/>
      <c r="L534" s="22"/>
    </row>
    <row r="535" spans="1:12" ht="12.75">
      <c r="A535" s="22"/>
      <c r="B535" s="22"/>
      <c r="C535" s="22"/>
      <c r="D535" s="22"/>
      <c r="E535" s="22"/>
      <c r="F535" s="22"/>
      <c r="G535" s="1023"/>
      <c r="H535" s="22"/>
      <c r="I535" s="22"/>
      <c r="J535" s="529"/>
      <c r="K535" s="24"/>
      <c r="L535" s="22"/>
    </row>
    <row r="536" spans="1:12" ht="12.75">
      <c r="A536" s="22"/>
      <c r="B536" s="22"/>
      <c r="C536" s="22"/>
      <c r="D536" s="22"/>
      <c r="E536" s="22"/>
      <c r="F536" s="22"/>
      <c r="G536" s="1023"/>
      <c r="H536" s="22"/>
      <c r="I536" s="22"/>
      <c r="J536" s="529"/>
      <c r="K536" s="24"/>
      <c r="L536" s="22"/>
    </row>
    <row r="537" spans="1:12" ht="12.75">
      <c r="A537" s="22"/>
      <c r="B537" s="22"/>
      <c r="C537" s="22"/>
      <c r="D537" s="22"/>
      <c r="E537" s="22"/>
      <c r="F537" s="22"/>
      <c r="G537" s="1023"/>
      <c r="H537" s="22"/>
      <c r="I537" s="22"/>
      <c r="J537" s="529"/>
      <c r="K537" s="24"/>
      <c r="L537" s="22"/>
    </row>
    <row r="538" spans="1:12" ht="12.75">
      <c r="A538" s="22"/>
      <c r="B538" s="22"/>
      <c r="C538" s="22"/>
      <c r="D538" s="22"/>
      <c r="E538" s="22"/>
      <c r="F538" s="22"/>
      <c r="G538" s="1023"/>
      <c r="H538" s="22"/>
      <c r="I538" s="22"/>
      <c r="J538" s="529"/>
      <c r="K538" s="24"/>
      <c r="L538" s="22"/>
    </row>
    <row r="539" spans="1:12" ht="12.75">
      <c r="A539" s="22"/>
      <c r="B539" s="22"/>
      <c r="C539" s="22"/>
      <c r="D539" s="22"/>
      <c r="E539" s="22"/>
      <c r="F539" s="22"/>
      <c r="G539" s="1023"/>
      <c r="H539" s="22"/>
      <c r="I539" s="22"/>
      <c r="J539" s="529"/>
      <c r="K539" s="24"/>
      <c r="L539" s="22"/>
    </row>
    <row r="540" spans="1:12" ht="12.75">
      <c r="A540" s="22"/>
      <c r="B540" s="22"/>
      <c r="C540" s="22"/>
      <c r="D540" s="22"/>
      <c r="E540" s="22"/>
      <c r="F540" s="22"/>
      <c r="G540" s="1023"/>
      <c r="H540" s="22"/>
      <c r="I540" s="22"/>
      <c r="J540" s="529"/>
      <c r="K540" s="24"/>
      <c r="L540" s="22"/>
    </row>
    <row r="541" spans="1:12" ht="12.75">
      <c r="A541" s="22"/>
      <c r="B541" s="22"/>
      <c r="C541" s="22"/>
      <c r="D541" s="22"/>
      <c r="E541" s="22"/>
      <c r="F541" s="22"/>
      <c r="G541" s="1023"/>
      <c r="H541" s="22"/>
      <c r="I541" s="22"/>
      <c r="J541" s="529"/>
      <c r="K541" s="24"/>
      <c r="L541" s="22"/>
    </row>
    <row r="542" spans="1:12" ht="12.75">
      <c r="A542" s="22"/>
      <c r="B542" s="22"/>
      <c r="C542" s="22"/>
      <c r="D542" s="22"/>
      <c r="E542" s="22"/>
      <c r="F542" s="22"/>
      <c r="G542" s="1023"/>
      <c r="H542" s="22"/>
      <c r="I542" s="22"/>
      <c r="J542" s="529"/>
      <c r="K542" s="24"/>
      <c r="L542" s="22"/>
    </row>
    <row r="543" spans="1:12" ht="12.75">
      <c r="A543" s="22"/>
      <c r="B543" s="22"/>
      <c r="C543" s="22"/>
      <c r="D543" s="22"/>
      <c r="E543" s="22"/>
      <c r="F543" s="22"/>
      <c r="G543" s="1023"/>
      <c r="H543" s="22"/>
      <c r="I543" s="22"/>
      <c r="J543" s="529"/>
      <c r="K543" s="24"/>
      <c r="L543" s="22"/>
    </row>
    <row r="544" spans="1:12" ht="12.75">
      <c r="A544" s="22"/>
      <c r="B544" s="22"/>
      <c r="C544" s="22"/>
      <c r="D544" s="22"/>
      <c r="E544" s="22"/>
      <c r="F544" s="22"/>
      <c r="G544" s="1023"/>
      <c r="H544" s="22"/>
      <c r="I544" s="22"/>
      <c r="J544" s="529"/>
      <c r="K544" s="24"/>
      <c r="L544" s="22"/>
    </row>
    <row r="545" spans="1:12" ht="12.75">
      <c r="A545" s="22"/>
      <c r="B545" s="22"/>
      <c r="C545" s="22"/>
      <c r="D545" s="22"/>
      <c r="E545" s="22"/>
      <c r="F545" s="22"/>
      <c r="G545" s="1023"/>
      <c r="H545" s="22"/>
      <c r="I545" s="22"/>
      <c r="J545" s="529"/>
      <c r="K545" s="24"/>
      <c r="L545" s="22"/>
    </row>
    <row r="546" spans="1:12" ht="12.75">
      <c r="A546" s="22"/>
      <c r="B546" s="22"/>
      <c r="C546" s="22"/>
      <c r="D546" s="22"/>
      <c r="E546" s="22"/>
      <c r="F546" s="22"/>
      <c r="G546" s="1023"/>
      <c r="H546" s="22"/>
      <c r="I546" s="22"/>
      <c r="J546" s="529"/>
      <c r="K546" s="24"/>
      <c r="L546" s="22"/>
    </row>
    <row r="547" spans="1:12" ht="12.75">
      <c r="A547" s="22"/>
      <c r="B547" s="22"/>
      <c r="C547" s="22"/>
      <c r="D547" s="22"/>
      <c r="E547" s="22"/>
      <c r="F547" s="22"/>
      <c r="G547" s="1023"/>
      <c r="H547" s="22"/>
      <c r="I547" s="22"/>
      <c r="J547" s="529"/>
      <c r="K547" s="24"/>
      <c r="L547" s="22"/>
    </row>
    <row r="548" spans="1:12" ht="12.75">
      <c r="A548" s="22"/>
      <c r="B548" s="22"/>
      <c r="C548" s="22"/>
      <c r="D548" s="22"/>
      <c r="E548" s="22"/>
      <c r="F548" s="22"/>
      <c r="G548" s="1023"/>
      <c r="H548" s="22"/>
      <c r="I548" s="22"/>
      <c r="J548" s="529"/>
      <c r="K548" s="24"/>
      <c r="L548" s="22"/>
    </row>
    <row r="549" spans="1:12" ht="12.75">
      <c r="A549" s="22"/>
      <c r="B549" s="22"/>
      <c r="C549" s="22"/>
      <c r="D549" s="22"/>
      <c r="E549" s="22"/>
      <c r="F549" s="22"/>
      <c r="G549" s="1023"/>
      <c r="H549" s="22"/>
      <c r="I549" s="22"/>
      <c r="J549" s="529"/>
      <c r="K549" s="24"/>
      <c r="L549" s="22"/>
    </row>
    <row r="550" spans="1:12" ht="12.75">
      <c r="A550" s="22"/>
      <c r="B550" s="22"/>
      <c r="C550" s="22"/>
      <c r="D550" s="22"/>
      <c r="E550" s="22"/>
      <c r="F550" s="22"/>
      <c r="G550" s="1023"/>
      <c r="H550" s="22"/>
      <c r="I550" s="22"/>
      <c r="J550" s="529"/>
      <c r="K550" s="24"/>
      <c r="L550" s="22"/>
    </row>
    <row r="551" spans="1:12" ht="12.75">
      <c r="A551" s="22"/>
      <c r="B551" s="22"/>
      <c r="C551" s="22"/>
      <c r="D551" s="22"/>
      <c r="E551" s="22"/>
      <c r="F551" s="22"/>
      <c r="G551" s="1023"/>
      <c r="H551" s="22"/>
      <c r="I551" s="22"/>
      <c r="J551" s="529"/>
      <c r="K551" s="24"/>
      <c r="L551" s="22"/>
    </row>
    <row r="552" spans="1:12" ht="12.75">
      <c r="A552" s="22"/>
      <c r="B552" s="22"/>
      <c r="C552" s="22"/>
      <c r="D552" s="22"/>
      <c r="E552" s="22"/>
      <c r="F552" s="22"/>
      <c r="G552" s="1023"/>
      <c r="H552" s="22"/>
      <c r="I552" s="22"/>
      <c r="J552" s="529"/>
      <c r="K552" s="24"/>
      <c r="L552" s="22"/>
    </row>
    <row r="553" spans="1:12" ht="12.75">
      <c r="A553" s="22"/>
      <c r="B553" s="22"/>
      <c r="C553" s="22"/>
      <c r="D553" s="22"/>
      <c r="E553" s="22"/>
      <c r="F553" s="22"/>
      <c r="G553" s="1023"/>
      <c r="H553" s="22"/>
      <c r="I553" s="22"/>
      <c r="J553" s="529"/>
      <c r="K553" s="24"/>
      <c r="L553" s="22"/>
    </row>
    <row r="554" spans="1:12" ht="12.75">
      <c r="A554" s="22"/>
      <c r="B554" s="22"/>
      <c r="C554" s="22"/>
      <c r="D554" s="22"/>
      <c r="E554" s="22"/>
      <c r="F554" s="22"/>
      <c r="G554" s="1023"/>
      <c r="H554" s="22"/>
      <c r="I554" s="22"/>
      <c r="J554" s="529"/>
      <c r="K554" s="24"/>
      <c r="L554" s="22"/>
    </row>
    <row r="555" spans="1:12" ht="12.75">
      <c r="A555" s="22"/>
      <c r="B555" s="22"/>
      <c r="C555" s="22"/>
      <c r="D555" s="22"/>
      <c r="E555" s="22"/>
      <c r="F555" s="22"/>
      <c r="G555" s="1023"/>
      <c r="H555" s="22"/>
      <c r="I555" s="22"/>
      <c r="J555" s="529"/>
      <c r="K555" s="24"/>
      <c r="L555" s="22"/>
    </row>
    <row r="556" spans="1:12" ht="12.75">
      <c r="A556" s="22"/>
      <c r="B556" s="22"/>
      <c r="C556" s="22"/>
      <c r="D556" s="22"/>
      <c r="E556" s="22"/>
      <c r="F556" s="22"/>
      <c r="G556" s="1023"/>
      <c r="H556" s="22"/>
      <c r="I556" s="22"/>
      <c r="J556" s="529"/>
      <c r="K556" s="24"/>
      <c r="L556" s="22"/>
    </row>
    <row r="557" spans="1:12" ht="12.75">
      <c r="A557" s="22"/>
      <c r="B557" s="22"/>
      <c r="C557" s="22"/>
      <c r="D557" s="22"/>
      <c r="E557" s="22"/>
      <c r="F557" s="22"/>
      <c r="G557" s="1023"/>
      <c r="H557" s="22"/>
      <c r="I557" s="22"/>
      <c r="J557" s="529"/>
      <c r="K557" s="24"/>
      <c r="L557" s="22"/>
    </row>
    <row r="558" spans="1:12" ht="12.75">
      <c r="A558" s="22"/>
      <c r="B558" s="22"/>
      <c r="C558" s="22"/>
      <c r="D558" s="22"/>
      <c r="E558" s="22"/>
      <c r="F558" s="22"/>
      <c r="G558" s="1023"/>
      <c r="H558" s="22"/>
      <c r="I558" s="22"/>
      <c r="J558" s="529"/>
      <c r="K558" s="24"/>
      <c r="L558" s="22"/>
    </row>
    <row r="559" spans="1:12" ht="12.75">
      <c r="A559" s="22"/>
      <c r="B559" s="22"/>
      <c r="C559" s="22"/>
      <c r="D559" s="22"/>
      <c r="E559" s="22"/>
      <c r="F559" s="22"/>
      <c r="G559" s="1023"/>
      <c r="H559" s="22"/>
      <c r="I559" s="22"/>
      <c r="J559" s="529"/>
      <c r="K559" s="24"/>
      <c r="L559" s="22"/>
    </row>
    <row r="560" spans="1:12" ht="12.75">
      <c r="A560" s="22"/>
      <c r="B560" s="22"/>
      <c r="C560" s="22"/>
      <c r="D560" s="22"/>
      <c r="E560" s="22"/>
      <c r="F560" s="22"/>
      <c r="G560" s="1023"/>
      <c r="H560" s="22"/>
      <c r="I560" s="22"/>
      <c r="J560" s="529"/>
      <c r="K560" s="24"/>
      <c r="L560" s="22"/>
    </row>
    <row r="561" spans="1:12" ht="12.75">
      <c r="A561" s="22"/>
      <c r="B561" s="22"/>
      <c r="C561" s="22"/>
      <c r="D561" s="22"/>
      <c r="E561" s="22"/>
      <c r="F561" s="22"/>
      <c r="G561" s="1023"/>
      <c r="H561" s="22"/>
      <c r="I561" s="22"/>
      <c r="J561" s="529"/>
      <c r="K561" s="24"/>
      <c r="L561" s="22"/>
    </row>
    <row r="562" spans="1:12" ht="12.75">
      <c r="A562" s="22"/>
      <c r="B562" s="22"/>
      <c r="C562" s="22"/>
      <c r="D562" s="22"/>
      <c r="E562" s="22"/>
      <c r="F562" s="22"/>
      <c r="G562" s="1023"/>
      <c r="H562" s="22"/>
      <c r="I562" s="22"/>
      <c r="J562" s="529"/>
      <c r="K562" s="24"/>
      <c r="L562" s="22"/>
    </row>
    <row r="563" spans="1:12" ht="12.75">
      <c r="A563" s="22"/>
      <c r="B563" s="22"/>
      <c r="C563" s="22"/>
      <c r="D563" s="22"/>
      <c r="E563" s="22"/>
      <c r="F563" s="22"/>
      <c r="G563" s="1023"/>
      <c r="H563" s="22"/>
      <c r="I563" s="22"/>
      <c r="J563" s="529"/>
      <c r="K563" s="24"/>
      <c r="L563" s="22"/>
    </row>
    <row r="564" spans="1:12" ht="12.75">
      <c r="A564" s="22"/>
      <c r="B564" s="22"/>
      <c r="C564" s="22"/>
      <c r="D564" s="22"/>
      <c r="E564" s="22"/>
      <c r="F564" s="22"/>
      <c r="G564" s="1023"/>
      <c r="H564" s="22"/>
      <c r="I564" s="22"/>
      <c r="J564" s="529"/>
      <c r="K564" s="24"/>
      <c r="L564" s="22"/>
    </row>
    <row r="565" spans="1:12" ht="12.75">
      <c r="A565" s="22"/>
      <c r="B565" s="22"/>
      <c r="C565" s="22"/>
      <c r="D565" s="22"/>
      <c r="E565" s="22"/>
      <c r="F565" s="22"/>
      <c r="G565" s="1023"/>
      <c r="H565" s="22"/>
      <c r="I565" s="22"/>
      <c r="J565" s="529"/>
      <c r="K565" s="24"/>
      <c r="L565" s="22"/>
    </row>
    <row r="566" spans="1:12" ht="12.75">
      <c r="A566" s="22"/>
      <c r="B566" s="22"/>
      <c r="C566" s="22"/>
      <c r="D566" s="22"/>
      <c r="E566" s="22"/>
      <c r="F566" s="22"/>
      <c r="G566" s="1023"/>
      <c r="H566" s="22"/>
      <c r="I566" s="22"/>
      <c r="J566" s="529"/>
      <c r="K566" s="24"/>
      <c r="L566" s="22"/>
    </row>
    <row r="567" spans="1:12" ht="12.75">
      <c r="A567" s="22"/>
      <c r="B567" s="22"/>
      <c r="C567" s="22"/>
      <c r="D567" s="22"/>
      <c r="E567" s="22"/>
      <c r="F567" s="22"/>
      <c r="G567" s="1023"/>
      <c r="H567" s="22"/>
      <c r="I567" s="22"/>
      <c r="J567" s="529"/>
      <c r="K567" s="24"/>
      <c r="L567" s="22"/>
    </row>
    <row r="568" spans="1:12" ht="12.75">
      <c r="A568" s="22"/>
      <c r="B568" s="22"/>
      <c r="C568" s="22"/>
      <c r="D568" s="22"/>
      <c r="E568" s="22"/>
      <c r="F568" s="22"/>
      <c r="G568" s="1023"/>
      <c r="H568" s="22"/>
      <c r="I568" s="22"/>
      <c r="J568" s="529"/>
      <c r="K568" s="24"/>
      <c r="L568" s="22"/>
    </row>
    <row r="569" spans="1:12" ht="12.75">
      <c r="A569" s="22"/>
      <c r="B569" s="22"/>
      <c r="C569" s="22"/>
      <c r="D569" s="22"/>
      <c r="E569" s="22"/>
      <c r="F569" s="22"/>
      <c r="G569" s="1023"/>
      <c r="H569" s="22"/>
      <c r="I569" s="22"/>
      <c r="J569" s="529"/>
      <c r="K569" s="24"/>
      <c r="L569" s="22"/>
    </row>
    <row r="570" spans="1:12" ht="12.75">
      <c r="A570" s="22"/>
      <c r="B570" s="22"/>
      <c r="C570" s="22"/>
      <c r="D570" s="22"/>
      <c r="E570" s="22"/>
      <c r="F570" s="22"/>
      <c r="G570" s="1023"/>
      <c r="H570" s="22"/>
      <c r="I570" s="22"/>
      <c r="J570" s="529"/>
      <c r="K570" s="24"/>
      <c r="L570" s="22"/>
    </row>
    <row r="571" spans="1:12" ht="12.75">
      <c r="A571" s="22"/>
      <c r="B571" s="22"/>
      <c r="C571" s="22"/>
      <c r="D571" s="22"/>
      <c r="E571" s="22"/>
      <c r="F571" s="22"/>
      <c r="G571" s="1023"/>
      <c r="H571" s="22"/>
      <c r="I571" s="22"/>
      <c r="J571" s="529"/>
      <c r="K571" s="24"/>
      <c r="L571" s="22"/>
    </row>
    <row r="572" spans="1:12" ht="12.75">
      <c r="A572" s="22"/>
      <c r="B572" s="22"/>
      <c r="C572" s="22"/>
      <c r="D572" s="22"/>
      <c r="E572" s="22"/>
      <c r="F572" s="22"/>
      <c r="G572" s="1023"/>
      <c r="H572" s="22"/>
      <c r="I572" s="22"/>
      <c r="J572" s="529"/>
      <c r="K572" s="24"/>
      <c r="L572" s="22"/>
    </row>
    <row r="573" spans="1:12" ht="12.75">
      <c r="A573" s="22"/>
      <c r="B573" s="22"/>
      <c r="C573" s="22"/>
      <c r="D573" s="22"/>
      <c r="E573" s="22"/>
      <c r="F573" s="22"/>
      <c r="G573" s="1023"/>
      <c r="H573" s="22"/>
      <c r="I573" s="22"/>
      <c r="J573" s="529"/>
      <c r="K573" s="24"/>
      <c r="L573" s="22"/>
    </row>
    <row r="574" spans="1:12" ht="12.75">
      <c r="A574" s="22"/>
      <c r="B574" s="22"/>
      <c r="C574" s="22"/>
      <c r="D574" s="22"/>
      <c r="E574" s="22"/>
      <c r="F574" s="22"/>
      <c r="G574" s="1023"/>
      <c r="H574" s="22"/>
      <c r="I574" s="22"/>
      <c r="J574" s="529"/>
      <c r="K574" s="24"/>
      <c r="L574" s="22"/>
    </row>
    <row r="575" spans="1:12" ht="12.75">
      <c r="A575" s="22"/>
      <c r="B575" s="22"/>
      <c r="C575" s="22"/>
      <c r="D575" s="22"/>
      <c r="E575" s="22"/>
      <c r="F575" s="22"/>
      <c r="G575" s="1023"/>
      <c r="H575" s="22"/>
      <c r="I575" s="22"/>
      <c r="J575" s="529"/>
      <c r="K575" s="24"/>
      <c r="L575" s="22"/>
    </row>
    <row r="576" spans="1:12" ht="12.75">
      <c r="A576" s="22"/>
      <c r="B576" s="22"/>
      <c r="C576" s="22"/>
      <c r="D576" s="22"/>
      <c r="E576" s="22"/>
      <c r="F576" s="22"/>
      <c r="G576" s="1023"/>
      <c r="H576" s="22"/>
      <c r="I576" s="22"/>
      <c r="J576" s="529"/>
      <c r="K576" s="24"/>
      <c r="L576" s="22"/>
    </row>
    <row r="577" spans="1:12" ht="12.75">
      <c r="A577" s="22"/>
      <c r="B577" s="22"/>
      <c r="C577" s="22"/>
      <c r="D577" s="22"/>
      <c r="E577" s="22"/>
      <c r="F577" s="22"/>
      <c r="G577" s="1023"/>
      <c r="H577" s="22"/>
      <c r="I577" s="22"/>
      <c r="J577" s="529"/>
      <c r="K577" s="24"/>
      <c r="L577" s="22"/>
    </row>
    <row r="578" spans="1:12" ht="12.75">
      <c r="A578" s="22"/>
      <c r="B578" s="22"/>
      <c r="C578" s="22"/>
      <c r="D578" s="22"/>
      <c r="E578" s="22"/>
      <c r="F578" s="22"/>
      <c r="G578" s="1023"/>
      <c r="H578" s="22"/>
      <c r="I578" s="22"/>
      <c r="J578" s="529"/>
      <c r="K578" s="24"/>
      <c r="L578" s="22"/>
    </row>
    <row r="579" spans="1:12" ht="12.75">
      <c r="A579" s="22"/>
      <c r="B579" s="22"/>
      <c r="C579" s="22"/>
      <c r="D579" s="22"/>
      <c r="E579" s="22"/>
      <c r="F579" s="22"/>
      <c r="G579" s="1023"/>
      <c r="H579" s="22"/>
      <c r="I579" s="22"/>
      <c r="J579" s="529"/>
      <c r="K579" s="24"/>
      <c r="L579" s="22"/>
    </row>
    <row r="580" spans="1:12" ht="12.75">
      <c r="A580" s="22"/>
      <c r="B580" s="22"/>
      <c r="C580" s="22"/>
      <c r="D580" s="22"/>
      <c r="E580" s="22"/>
      <c r="F580" s="22"/>
      <c r="G580" s="1023"/>
      <c r="H580" s="22"/>
      <c r="I580" s="22"/>
      <c r="J580" s="529"/>
      <c r="K580" s="24"/>
      <c r="L580" s="22"/>
    </row>
    <row r="581" spans="1:12" ht="12.75">
      <c r="A581" s="22"/>
      <c r="B581" s="22"/>
      <c r="C581" s="22"/>
      <c r="D581" s="22"/>
      <c r="E581" s="22"/>
      <c r="F581" s="22"/>
      <c r="G581" s="1023"/>
      <c r="H581" s="22"/>
      <c r="I581" s="22"/>
      <c r="J581" s="529"/>
      <c r="K581" s="24"/>
      <c r="L581" s="22"/>
    </row>
    <row r="582" spans="1:12" ht="12.75">
      <c r="A582" s="22"/>
      <c r="B582" s="22"/>
      <c r="C582" s="22"/>
      <c r="D582" s="22"/>
      <c r="E582" s="22"/>
      <c r="F582" s="22"/>
      <c r="G582" s="1023"/>
      <c r="H582" s="22"/>
      <c r="I582" s="22"/>
      <c r="J582" s="529"/>
      <c r="K582" s="24"/>
      <c r="L582" s="22"/>
    </row>
    <row r="583" spans="1:12" ht="12.75">
      <c r="A583" s="22"/>
      <c r="B583" s="22"/>
      <c r="C583" s="22"/>
      <c r="D583" s="22"/>
      <c r="E583" s="22"/>
      <c r="F583" s="22"/>
      <c r="G583" s="1023"/>
      <c r="H583" s="22"/>
      <c r="I583" s="22"/>
      <c r="J583" s="529"/>
      <c r="K583" s="24"/>
      <c r="L583" s="22"/>
    </row>
    <row r="584" spans="1:12" ht="12.75">
      <c r="A584" s="22"/>
      <c r="B584" s="22"/>
      <c r="C584" s="22"/>
      <c r="D584" s="22"/>
      <c r="E584" s="22"/>
      <c r="F584" s="22"/>
      <c r="G584" s="1023"/>
      <c r="H584" s="22"/>
      <c r="I584" s="22"/>
      <c r="J584" s="529"/>
      <c r="K584" s="24"/>
      <c r="L584" s="22"/>
    </row>
    <row r="585" spans="1:12" ht="12.75">
      <c r="A585" s="22"/>
      <c r="B585" s="22"/>
      <c r="C585" s="22"/>
      <c r="D585" s="22"/>
      <c r="E585" s="22"/>
      <c r="F585" s="22"/>
      <c r="G585" s="1023"/>
      <c r="H585" s="22"/>
      <c r="I585" s="22"/>
      <c r="J585" s="529"/>
      <c r="K585" s="24"/>
      <c r="L585" s="22"/>
    </row>
    <row r="586" spans="1:12" ht="12.75">
      <c r="A586" s="22"/>
      <c r="B586" s="22"/>
      <c r="C586" s="22"/>
      <c r="D586" s="22"/>
      <c r="E586" s="22"/>
      <c r="F586" s="22"/>
      <c r="G586" s="1023"/>
      <c r="H586" s="22"/>
      <c r="I586" s="22"/>
      <c r="J586" s="529"/>
      <c r="K586" s="24"/>
      <c r="L586" s="22"/>
    </row>
    <row r="587" spans="1:12" ht="12.75">
      <c r="A587" s="22"/>
      <c r="B587" s="22"/>
      <c r="C587" s="22"/>
      <c r="D587" s="22"/>
      <c r="E587" s="22"/>
      <c r="F587" s="22"/>
      <c r="G587" s="1023"/>
      <c r="H587" s="22"/>
      <c r="I587" s="22"/>
      <c r="J587" s="529"/>
      <c r="K587" s="24"/>
      <c r="L587" s="22"/>
    </row>
    <row r="588" spans="1:12" ht="12.75">
      <c r="A588" s="22"/>
      <c r="B588" s="22"/>
      <c r="C588" s="22"/>
      <c r="D588" s="22"/>
      <c r="E588" s="22"/>
      <c r="F588" s="22"/>
      <c r="G588" s="1023"/>
      <c r="H588" s="22"/>
      <c r="I588" s="22"/>
      <c r="J588" s="529"/>
      <c r="K588" s="24"/>
      <c r="L588" s="22"/>
    </row>
    <row r="589" spans="1:12" ht="12.75">
      <c r="A589" s="22"/>
      <c r="B589" s="22"/>
      <c r="C589" s="22"/>
      <c r="D589" s="22"/>
      <c r="E589" s="22"/>
      <c r="F589" s="22"/>
      <c r="G589" s="1023"/>
      <c r="H589" s="22"/>
      <c r="I589" s="22"/>
      <c r="J589" s="529"/>
      <c r="K589" s="24"/>
      <c r="L589" s="22"/>
    </row>
    <row r="590" spans="1:12" ht="12.75">
      <c r="A590" s="22"/>
      <c r="B590" s="22"/>
      <c r="C590" s="22"/>
      <c r="D590" s="22"/>
      <c r="E590" s="22"/>
      <c r="F590" s="22"/>
      <c r="G590" s="1023"/>
      <c r="H590" s="22"/>
      <c r="I590" s="22"/>
      <c r="J590" s="529"/>
      <c r="K590" s="24"/>
      <c r="L590" s="22"/>
    </row>
    <row r="591" spans="1:12" ht="12.75">
      <c r="A591" s="22"/>
      <c r="B591" s="22"/>
      <c r="C591" s="22"/>
      <c r="D591" s="22"/>
      <c r="E591" s="22"/>
      <c r="F591" s="22"/>
      <c r="G591" s="1023"/>
      <c r="H591" s="22"/>
      <c r="I591" s="22"/>
      <c r="J591" s="529"/>
      <c r="K591" s="24"/>
      <c r="L591" s="22"/>
    </row>
    <row r="592" spans="1:12" ht="12.75">
      <c r="A592" s="22"/>
      <c r="B592" s="22"/>
      <c r="C592" s="22"/>
      <c r="D592" s="22"/>
      <c r="E592" s="22"/>
      <c r="F592" s="22"/>
      <c r="G592" s="1023"/>
      <c r="H592" s="22"/>
      <c r="I592" s="22"/>
      <c r="J592" s="529"/>
      <c r="K592" s="24"/>
      <c r="L592" s="22"/>
    </row>
    <row r="593" spans="1:12" ht="12.75">
      <c r="A593" s="22"/>
      <c r="B593" s="22"/>
      <c r="C593" s="22"/>
      <c r="D593" s="22"/>
      <c r="E593" s="22"/>
      <c r="F593" s="22"/>
      <c r="G593" s="1023"/>
      <c r="H593" s="22"/>
      <c r="I593" s="22"/>
      <c r="J593" s="529"/>
      <c r="K593" s="24"/>
      <c r="L593" s="22"/>
    </row>
    <row r="594" spans="1:12" ht="12.75">
      <c r="A594" s="22"/>
      <c r="B594" s="22"/>
      <c r="C594" s="22"/>
      <c r="D594" s="22"/>
      <c r="E594" s="22"/>
      <c r="F594" s="22"/>
      <c r="G594" s="1023"/>
      <c r="H594" s="22"/>
      <c r="I594" s="22"/>
      <c r="J594" s="529"/>
      <c r="K594" s="24"/>
      <c r="L594" s="22"/>
    </row>
    <row r="595" spans="1:12" ht="12.75">
      <c r="A595" s="22"/>
      <c r="B595" s="22"/>
      <c r="C595" s="22"/>
      <c r="D595" s="22"/>
      <c r="E595" s="22"/>
      <c r="F595" s="22"/>
      <c r="G595" s="1023"/>
      <c r="H595" s="22"/>
      <c r="I595" s="22"/>
      <c r="J595" s="529"/>
      <c r="K595" s="24"/>
      <c r="L595" s="22"/>
    </row>
    <row r="596" spans="1:12" ht="12.75">
      <c r="A596" s="22"/>
      <c r="B596" s="22"/>
      <c r="C596" s="22"/>
      <c r="D596" s="22"/>
      <c r="E596" s="22"/>
      <c r="F596" s="22"/>
      <c r="G596" s="1023"/>
      <c r="H596" s="22"/>
      <c r="I596" s="22"/>
      <c r="J596" s="529"/>
      <c r="K596" s="24"/>
      <c r="L596" s="22"/>
    </row>
    <row r="597" spans="1:12" ht="12.75">
      <c r="A597" s="22"/>
      <c r="B597" s="22"/>
      <c r="C597" s="22"/>
      <c r="D597" s="22"/>
      <c r="E597" s="22"/>
      <c r="F597" s="22"/>
      <c r="G597" s="1023"/>
      <c r="H597" s="22"/>
      <c r="I597" s="22"/>
      <c r="J597" s="529"/>
      <c r="K597" s="24"/>
      <c r="L597" s="22"/>
    </row>
    <row r="598" spans="1:12" ht="12.75">
      <c r="A598" s="22"/>
      <c r="B598" s="22"/>
      <c r="C598" s="22"/>
      <c r="D598" s="22"/>
      <c r="E598" s="22"/>
      <c r="F598" s="22"/>
      <c r="G598" s="1023"/>
      <c r="H598" s="22"/>
      <c r="I598" s="22"/>
      <c r="J598" s="529"/>
      <c r="K598" s="24"/>
      <c r="L598" s="22"/>
    </row>
    <row r="599" spans="1:12" ht="12.75">
      <c r="A599" s="22"/>
      <c r="B599" s="22"/>
      <c r="C599" s="22"/>
      <c r="D599" s="22"/>
      <c r="E599" s="22"/>
      <c r="F599" s="22"/>
      <c r="G599" s="1023"/>
      <c r="H599" s="22"/>
      <c r="I599" s="22"/>
      <c r="J599" s="529"/>
      <c r="K599" s="24"/>
      <c r="L599" s="22"/>
    </row>
    <row r="600" spans="1:12" ht="12.75">
      <c r="A600" s="22"/>
      <c r="B600" s="22"/>
      <c r="C600" s="22"/>
      <c r="D600" s="22"/>
      <c r="E600" s="22"/>
      <c r="F600" s="22"/>
      <c r="G600" s="1023"/>
      <c r="H600" s="22"/>
      <c r="I600" s="22"/>
      <c r="J600" s="529"/>
      <c r="K600" s="24"/>
      <c r="L600" s="22"/>
    </row>
    <row r="601" spans="1:12" ht="12.75">
      <c r="A601" s="22"/>
      <c r="B601" s="22"/>
      <c r="C601" s="22"/>
      <c r="D601" s="22"/>
      <c r="E601" s="22"/>
      <c r="F601" s="22"/>
      <c r="G601" s="1023"/>
      <c r="H601" s="22"/>
      <c r="I601" s="22"/>
      <c r="J601" s="529"/>
      <c r="K601" s="24"/>
      <c r="L601" s="22"/>
    </row>
    <row r="602" spans="1:12" ht="12.75">
      <c r="A602" s="22"/>
      <c r="B602" s="22"/>
      <c r="C602" s="22"/>
      <c r="D602" s="22"/>
      <c r="E602" s="22"/>
      <c r="F602" s="22"/>
      <c r="G602" s="1023"/>
      <c r="H602" s="22"/>
      <c r="I602" s="22"/>
      <c r="J602" s="529"/>
      <c r="K602" s="24"/>
      <c r="L602" s="22"/>
    </row>
    <row r="603" spans="1:12" ht="12.75">
      <c r="A603" s="22"/>
      <c r="B603" s="22"/>
      <c r="C603" s="22"/>
      <c r="D603" s="22"/>
      <c r="E603" s="22"/>
      <c r="F603" s="22"/>
      <c r="G603" s="1023"/>
      <c r="H603" s="22"/>
      <c r="I603" s="22"/>
      <c r="J603" s="529"/>
      <c r="K603" s="24"/>
      <c r="L603" s="22"/>
    </row>
    <row r="604" spans="1:12" ht="12.75">
      <c r="A604" s="22"/>
      <c r="B604" s="22"/>
      <c r="C604" s="22"/>
      <c r="D604" s="22"/>
      <c r="E604" s="22"/>
      <c r="F604" s="22"/>
      <c r="G604" s="1023"/>
      <c r="H604" s="22"/>
      <c r="I604" s="22"/>
      <c r="J604" s="529"/>
      <c r="K604" s="24"/>
      <c r="L604" s="22"/>
    </row>
    <row r="605" spans="1:12" ht="12.75">
      <c r="A605" s="22"/>
      <c r="B605" s="22"/>
      <c r="C605" s="22"/>
      <c r="D605" s="22"/>
      <c r="E605" s="22"/>
      <c r="F605" s="22"/>
      <c r="G605" s="1023"/>
      <c r="H605" s="22"/>
      <c r="I605" s="22"/>
      <c r="J605" s="529"/>
      <c r="K605" s="24"/>
      <c r="L605" s="22"/>
    </row>
    <row r="606" spans="1:12" ht="12.75">
      <c r="A606" s="22"/>
      <c r="B606" s="22"/>
      <c r="C606" s="22"/>
      <c r="D606" s="22"/>
      <c r="E606" s="22"/>
      <c r="F606" s="22"/>
      <c r="G606" s="1023"/>
      <c r="H606" s="22"/>
      <c r="I606" s="22"/>
      <c r="J606" s="529"/>
      <c r="K606" s="24"/>
      <c r="L606" s="22"/>
    </row>
    <row r="607" spans="1:12" ht="12.75">
      <c r="A607" s="22"/>
      <c r="B607" s="22"/>
      <c r="C607" s="22"/>
      <c r="D607" s="22"/>
      <c r="E607" s="22"/>
      <c r="F607" s="22"/>
      <c r="G607" s="1023"/>
      <c r="H607" s="22"/>
      <c r="I607" s="22"/>
      <c r="J607" s="529"/>
      <c r="K607" s="24"/>
      <c r="L607" s="22"/>
    </row>
    <row r="608" spans="1:12" ht="12.75">
      <c r="A608" s="22"/>
      <c r="B608" s="22"/>
      <c r="C608" s="22"/>
      <c r="D608" s="22"/>
      <c r="E608" s="22"/>
      <c r="F608" s="22"/>
      <c r="G608" s="1023"/>
      <c r="H608" s="22"/>
      <c r="I608" s="22"/>
      <c r="J608" s="529"/>
      <c r="K608" s="24"/>
      <c r="L608" s="22"/>
    </row>
    <row r="609" spans="1:12" ht="12.75">
      <c r="A609" s="22"/>
      <c r="B609" s="22"/>
      <c r="C609" s="22"/>
      <c r="D609" s="22"/>
      <c r="E609" s="22"/>
      <c r="F609" s="22"/>
      <c r="G609" s="1023"/>
      <c r="H609" s="22"/>
      <c r="I609" s="22"/>
      <c r="J609" s="529"/>
      <c r="K609" s="24"/>
      <c r="L609" s="22"/>
    </row>
    <row r="610" spans="1:12" ht="12.75">
      <c r="A610" s="22"/>
      <c r="B610" s="22"/>
      <c r="C610" s="22"/>
      <c r="D610" s="22"/>
      <c r="E610" s="22"/>
      <c r="F610" s="22"/>
      <c r="G610" s="1023"/>
      <c r="H610" s="22"/>
      <c r="I610" s="22"/>
      <c r="J610" s="529"/>
      <c r="K610" s="24"/>
      <c r="L610" s="22"/>
    </row>
    <row r="611" spans="1:12" ht="12.75">
      <c r="A611" s="22"/>
      <c r="B611" s="22"/>
      <c r="C611" s="22"/>
      <c r="D611" s="22"/>
      <c r="E611" s="22"/>
      <c r="F611" s="22"/>
      <c r="G611" s="1023"/>
      <c r="H611" s="22"/>
      <c r="I611" s="22"/>
      <c r="J611" s="529"/>
      <c r="K611" s="24"/>
      <c r="L611" s="22"/>
    </row>
    <row r="612" spans="1:12" ht="12.75">
      <c r="A612" s="22"/>
      <c r="B612" s="22"/>
      <c r="C612" s="22"/>
      <c r="D612" s="22"/>
      <c r="E612" s="22"/>
      <c r="F612" s="22"/>
      <c r="G612" s="1023"/>
      <c r="H612" s="22"/>
      <c r="I612" s="22"/>
      <c r="J612" s="529"/>
      <c r="K612" s="24"/>
      <c r="L612" s="22"/>
    </row>
    <row r="613" spans="1:12" ht="12.75">
      <c r="A613" s="22"/>
      <c r="B613" s="22"/>
      <c r="C613" s="22"/>
      <c r="D613" s="22"/>
      <c r="E613" s="22"/>
      <c r="F613" s="22"/>
      <c r="G613" s="1023"/>
      <c r="H613" s="22"/>
      <c r="I613" s="22"/>
      <c r="J613" s="529"/>
      <c r="K613" s="24"/>
      <c r="L613" s="22"/>
    </row>
    <row r="614" spans="1:12" ht="12.75">
      <c r="A614" s="22"/>
      <c r="B614" s="22"/>
      <c r="C614" s="22"/>
      <c r="D614" s="22"/>
      <c r="E614" s="22"/>
      <c r="F614" s="22"/>
      <c r="G614" s="1023"/>
      <c r="H614" s="22"/>
      <c r="I614" s="22"/>
      <c r="J614" s="529"/>
      <c r="K614" s="24"/>
      <c r="L614" s="22"/>
    </row>
    <row r="615" spans="1:12" ht="12.75">
      <c r="A615" s="22"/>
      <c r="B615" s="22"/>
      <c r="C615" s="22"/>
      <c r="D615" s="22"/>
      <c r="E615" s="22"/>
      <c r="F615" s="22"/>
      <c r="G615" s="1023"/>
      <c r="H615" s="22"/>
      <c r="I615" s="22"/>
      <c r="J615" s="529"/>
      <c r="K615" s="24"/>
      <c r="L615" s="22"/>
    </row>
    <row r="616" spans="1:12" ht="12.75">
      <c r="A616" s="22"/>
      <c r="B616" s="22"/>
      <c r="C616" s="22"/>
      <c r="D616" s="22"/>
      <c r="E616" s="22"/>
      <c r="F616" s="22"/>
      <c r="G616" s="1023"/>
      <c r="H616" s="22"/>
      <c r="I616" s="22"/>
      <c r="J616" s="529"/>
      <c r="K616" s="24"/>
      <c r="L616" s="22"/>
    </row>
    <row r="617" spans="1:12" ht="12.75">
      <c r="A617" s="22"/>
      <c r="B617" s="22"/>
      <c r="C617" s="22"/>
      <c r="D617" s="22"/>
      <c r="E617" s="22"/>
      <c r="F617" s="22"/>
      <c r="G617" s="1023"/>
      <c r="H617" s="22"/>
      <c r="I617" s="22"/>
      <c r="J617" s="529"/>
      <c r="K617" s="24"/>
      <c r="L617" s="22"/>
    </row>
    <row r="618" spans="1:12" ht="12.75">
      <c r="A618" s="22"/>
      <c r="B618" s="22"/>
      <c r="C618" s="22"/>
      <c r="D618" s="22"/>
      <c r="E618" s="22"/>
      <c r="F618" s="22"/>
      <c r="G618" s="1023"/>
      <c r="H618" s="22"/>
      <c r="I618" s="22"/>
      <c r="J618" s="529"/>
      <c r="K618" s="24"/>
      <c r="L618" s="22"/>
    </row>
    <row r="619" spans="1:12" ht="12.75">
      <c r="A619" s="22"/>
      <c r="B619" s="22"/>
      <c r="C619" s="22"/>
      <c r="D619" s="22"/>
      <c r="E619" s="22"/>
      <c r="F619" s="22"/>
      <c r="G619" s="1023"/>
      <c r="H619" s="22"/>
      <c r="I619" s="22"/>
      <c r="J619" s="529"/>
      <c r="K619" s="24"/>
      <c r="L619" s="22"/>
    </row>
    <row r="620" spans="1:12" ht="12.75">
      <c r="A620" s="22"/>
      <c r="B620" s="22"/>
      <c r="C620" s="22"/>
      <c r="D620" s="22"/>
      <c r="E620" s="22"/>
      <c r="F620" s="22"/>
      <c r="G620" s="1023"/>
      <c r="H620" s="22"/>
      <c r="I620" s="22"/>
      <c r="J620" s="529"/>
      <c r="K620" s="24"/>
      <c r="L620" s="22"/>
    </row>
    <row r="621" spans="1:12" ht="12.75">
      <c r="A621" s="22"/>
      <c r="B621" s="22"/>
      <c r="C621" s="22"/>
      <c r="D621" s="22"/>
      <c r="E621" s="22"/>
      <c r="F621" s="22"/>
      <c r="G621" s="1023"/>
      <c r="H621" s="22"/>
      <c r="I621" s="22"/>
      <c r="J621" s="529"/>
      <c r="K621" s="24"/>
      <c r="L621" s="22"/>
    </row>
    <row r="622" spans="1:12" ht="12.75">
      <c r="A622" s="22"/>
      <c r="B622" s="22"/>
      <c r="C622" s="22"/>
      <c r="D622" s="22"/>
      <c r="E622" s="22"/>
      <c r="F622" s="22"/>
      <c r="G622" s="1023"/>
      <c r="H622" s="22"/>
      <c r="I622" s="22"/>
      <c r="J622" s="529"/>
      <c r="K622" s="24"/>
      <c r="L622" s="22"/>
    </row>
    <row r="623" spans="1:12" ht="12.75">
      <c r="A623" s="22"/>
      <c r="B623" s="22"/>
      <c r="C623" s="22"/>
      <c r="D623" s="22"/>
      <c r="E623" s="22"/>
      <c r="F623" s="22"/>
      <c r="G623" s="1023"/>
      <c r="H623" s="22"/>
      <c r="I623" s="22"/>
      <c r="J623" s="529"/>
      <c r="K623" s="24"/>
      <c r="L623" s="22"/>
    </row>
    <row r="624" spans="1:12" ht="12.75">
      <c r="A624" s="22"/>
      <c r="B624" s="22"/>
      <c r="C624" s="22"/>
      <c r="D624" s="22"/>
      <c r="E624" s="22"/>
      <c r="F624" s="22"/>
      <c r="G624" s="1023"/>
      <c r="H624" s="22"/>
      <c r="I624" s="22"/>
      <c r="J624" s="529"/>
      <c r="K624" s="24"/>
      <c r="L624" s="22"/>
    </row>
    <row r="625" spans="1:12" ht="12.75">
      <c r="A625" s="22"/>
      <c r="B625" s="22"/>
      <c r="C625" s="22"/>
      <c r="D625" s="22"/>
      <c r="E625" s="22"/>
      <c r="F625" s="22"/>
      <c r="G625" s="1023"/>
      <c r="H625" s="22"/>
      <c r="I625" s="22"/>
      <c r="J625" s="529"/>
      <c r="K625" s="24"/>
      <c r="L625" s="22"/>
    </row>
    <row r="626" spans="1:12" ht="12.75">
      <c r="A626" s="22"/>
      <c r="B626" s="22"/>
      <c r="C626" s="22"/>
      <c r="D626" s="22"/>
      <c r="E626" s="22"/>
      <c r="F626" s="22"/>
      <c r="G626" s="1023"/>
      <c r="H626" s="22"/>
      <c r="I626" s="22"/>
      <c r="J626" s="529"/>
      <c r="K626" s="24"/>
      <c r="L626" s="22"/>
    </row>
    <row r="627" spans="1:12" ht="12.75">
      <c r="A627" s="22"/>
      <c r="B627" s="22"/>
      <c r="C627" s="22"/>
      <c r="D627" s="22"/>
      <c r="E627" s="22"/>
      <c r="F627" s="22"/>
      <c r="G627" s="1023"/>
      <c r="H627" s="22"/>
      <c r="I627" s="22"/>
      <c r="J627" s="529"/>
      <c r="K627" s="24"/>
      <c r="L627" s="22"/>
    </row>
    <row r="628" spans="1:12" ht="12.75">
      <c r="A628" s="22"/>
      <c r="B628" s="22"/>
      <c r="C628" s="22"/>
      <c r="D628" s="22"/>
      <c r="E628" s="22"/>
      <c r="F628" s="22"/>
      <c r="G628" s="1023"/>
      <c r="H628" s="22"/>
      <c r="I628" s="22"/>
      <c r="J628" s="529"/>
      <c r="K628" s="24"/>
      <c r="L628" s="22"/>
    </row>
    <row r="629" spans="1:12" ht="12.75">
      <c r="A629" s="22"/>
      <c r="B629" s="22"/>
      <c r="C629" s="22"/>
      <c r="D629" s="22"/>
      <c r="E629" s="22"/>
      <c r="F629" s="22"/>
      <c r="G629" s="1023"/>
      <c r="H629" s="22"/>
      <c r="I629" s="22"/>
      <c r="J629" s="529"/>
      <c r="K629" s="24"/>
      <c r="L629" s="22"/>
    </row>
    <row r="630" spans="1:12" ht="12.75">
      <c r="A630" s="22"/>
      <c r="B630" s="22"/>
      <c r="C630" s="22"/>
      <c r="D630" s="22"/>
      <c r="E630" s="22"/>
      <c r="F630" s="22"/>
      <c r="G630" s="1023"/>
      <c r="H630" s="22"/>
      <c r="I630" s="22"/>
      <c r="J630" s="529"/>
      <c r="K630" s="24"/>
      <c r="L630" s="22"/>
    </row>
    <row r="631" spans="1:12" ht="12.75">
      <c r="A631" s="22"/>
      <c r="B631" s="22"/>
      <c r="C631" s="22"/>
      <c r="D631" s="22"/>
      <c r="E631" s="22"/>
      <c r="F631" s="22"/>
      <c r="G631" s="1023"/>
      <c r="H631" s="22"/>
      <c r="I631" s="22"/>
      <c r="J631" s="529"/>
      <c r="K631" s="24"/>
      <c r="L631" s="22"/>
    </row>
    <row r="632" spans="1:12" ht="12.75">
      <c r="A632" s="22"/>
      <c r="B632" s="22"/>
      <c r="C632" s="22"/>
      <c r="D632" s="22"/>
      <c r="E632" s="22"/>
      <c r="F632" s="22"/>
      <c r="G632" s="1023"/>
      <c r="H632" s="22"/>
      <c r="I632" s="22"/>
      <c r="J632" s="529"/>
      <c r="K632" s="24"/>
      <c r="L632" s="22"/>
    </row>
    <row r="633" spans="1:12" ht="12.75">
      <c r="A633" s="22"/>
      <c r="B633" s="22"/>
      <c r="C633" s="22"/>
      <c r="D633" s="22"/>
      <c r="E633" s="22"/>
      <c r="F633" s="22"/>
      <c r="G633" s="1023"/>
      <c r="H633" s="22"/>
      <c r="I633" s="22"/>
      <c r="J633" s="529"/>
      <c r="K633" s="24"/>
      <c r="L633" s="22"/>
    </row>
    <row r="634" spans="1:12" ht="12.75">
      <c r="A634" s="22"/>
      <c r="B634" s="22"/>
      <c r="C634" s="22"/>
      <c r="D634" s="22"/>
      <c r="E634" s="22"/>
      <c r="F634" s="22"/>
      <c r="G634" s="1023"/>
      <c r="H634" s="22"/>
      <c r="I634" s="22"/>
      <c r="J634" s="529"/>
      <c r="K634" s="24"/>
      <c r="L634" s="22"/>
    </row>
    <row r="635" spans="1:12" ht="12.75">
      <c r="A635" s="22"/>
      <c r="B635" s="22"/>
      <c r="C635" s="22"/>
      <c r="D635" s="22"/>
      <c r="E635" s="22"/>
      <c r="F635" s="22"/>
      <c r="G635" s="1023"/>
      <c r="H635" s="22"/>
      <c r="I635" s="22"/>
      <c r="J635" s="529"/>
      <c r="K635" s="24"/>
      <c r="L635" s="22"/>
    </row>
    <row r="636" spans="1:12" ht="12.75">
      <c r="A636" s="22"/>
      <c r="B636" s="22"/>
      <c r="C636" s="22"/>
      <c r="D636" s="22"/>
      <c r="E636" s="22"/>
      <c r="F636" s="22"/>
      <c r="G636" s="1023"/>
      <c r="H636" s="22"/>
      <c r="I636" s="22"/>
      <c r="J636" s="529"/>
      <c r="K636" s="24"/>
      <c r="L636" s="22"/>
    </row>
    <row r="637" spans="1:12" ht="12.75">
      <c r="A637" s="22"/>
      <c r="B637" s="22"/>
      <c r="C637" s="22"/>
      <c r="D637" s="22"/>
      <c r="E637" s="22"/>
      <c r="F637" s="22"/>
      <c r="G637" s="1023"/>
      <c r="H637" s="22"/>
      <c r="I637" s="22"/>
      <c r="J637" s="529"/>
      <c r="K637" s="24"/>
      <c r="L637" s="22"/>
    </row>
    <row r="638" spans="1:12" ht="12.75">
      <c r="A638" s="22"/>
      <c r="B638" s="22"/>
      <c r="C638" s="22"/>
      <c r="D638" s="22"/>
      <c r="E638" s="22"/>
      <c r="F638" s="22"/>
      <c r="G638" s="1023"/>
      <c r="H638" s="22"/>
      <c r="I638" s="22"/>
      <c r="J638" s="529"/>
      <c r="K638" s="24"/>
      <c r="L638" s="22"/>
    </row>
    <row r="639" spans="1:12" ht="12.75">
      <c r="A639" s="22"/>
      <c r="B639" s="22"/>
      <c r="C639" s="22"/>
      <c r="D639" s="22"/>
      <c r="E639" s="22"/>
      <c r="F639" s="22"/>
      <c r="G639" s="1023"/>
      <c r="H639" s="22"/>
      <c r="I639" s="22"/>
      <c r="J639" s="529"/>
      <c r="K639" s="24"/>
      <c r="L639" s="22"/>
    </row>
    <row r="640" spans="1:12" ht="12.75">
      <c r="A640" s="22"/>
      <c r="B640" s="22"/>
      <c r="C640" s="22"/>
      <c r="D640" s="22"/>
      <c r="E640" s="22"/>
      <c r="F640" s="22"/>
      <c r="G640" s="1023"/>
      <c r="H640" s="22"/>
      <c r="I640" s="22"/>
      <c r="J640" s="529"/>
      <c r="K640" s="24"/>
      <c r="L640" s="22"/>
    </row>
    <row r="641" spans="1:12" ht="12.75">
      <c r="A641" s="22"/>
      <c r="B641" s="22"/>
      <c r="C641" s="22"/>
      <c r="D641" s="22"/>
      <c r="E641" s="22"/>
      <c r="F641" s="22"/>
      <c r="G641" s="1023"/>
      <c r="H641" s="22"/>
      <c r="I641" s="22"/>
      <c r="J641" s="529"/>
      <c r="K641" s="24"/>
      <c r="L641" s="22"/>
    </row>
    <row r="642" spans="1:12" ht="12.75">
      <c r="A642" s="22"/>
      <c r="B642" s="22"/>
      <c r="C642" s="22"/>
      <c r="D642" s="22"/>
      <c r="E642" s="22"/>
      <c r="F642" s="22"/>
      <c r="G642" s="1023"/>
      <c r="H642" s="22"/>
      <c r="I642" s="22"/>
      <c r="J642" s="529"/>
      <c r="K642" s="24"/>
      <c r="L642" s="22"/>
    </row>
    <row r="643" spans="1:12" ht="12.75">
      <c r="A643" s="22"/>
      <c r="B643" s="22"/>
      <c r="C643" s="22"/>
      <c r="D643" s="22"/>
      <c r="E643" s="22"/>
      <c r="F643" s="22"/>
      <c r="G643" s="1023"/>
      <c r="H643" s="22"/>
      <c r="I643" s="22"/>
      <c r="J643" s="529"/>
      <c r="K643" s="24"/>
      <c r="L643" s="22"/>
    </row>
    <row r="644" spans="1:12" ht="12.75">
      <c r="A644" s="22"/>
      <c r="B644" s="22"/>
      <c r="C644" s="22"/>
      <c r="D644" s="22"/>
      <c r="E644" s="22"/>
      <c r="F644" s="22"/>
      <c r="G644" s="1023"/>
      <c r="H644" s="22"/>
      <c r="I644" s="22"/>
      <c r="J644" s="529"/>
      <c r="K644" s="24"/>
      <c r="L644" s="22"/>
    </row>
    <row r="645" spans="1:12" ht="12.75">
      <c r="A645" s="22"/>
      <c r="B645" s="22"/>
      <c r="C645" s="22"/>
      <c r="D645" s="22"/>
      <c r="E645" s="22"/>
      <c r="F645" s="22"/>
      <c r="G645" s="1023"/>
      <c r="H645" s="22"/>
      <c r="I645" s="22"/>
      <c r="J645" s="529"/>
      <c r="K645" s="24"/>
      <c r="L645" s="22"/>
    </row>
    <row r="646" spans="1:12" ht="12.75">
      <c r="A646" s="22"/>
      <c r="B646" s="22"/>
      <c r="C646" s="22"/>
      <c r="D646" s="22"/>
      <c r="E646" s="22"/>
      <c r="F646" s="22"/>
      <c r="G646" s="1023"/>
      <c r="H646" s="22"/>
      <c r="I646" s="22"/>
      <c r="J646" s="529"/>
      <c r="K646" s="24"/>
      <c r="L646" s="22"/>
    </row>
    <row r="647" spans="1:12" ht="12.75">
      <c r="A647" s="22"/>
      <c r="B647" s="22"/>
      <c r="C647" s="22"/>
      <c r="D647" s="22"/>
      <c r="E647" s="22"/>
      <c r="F647" s="22"/>
      <c r="G647" s="1023"/>
      <c r="H647" s="22"/>
      <c r="I647" s="22"/>
      <c r="J647" s="529"/>
      <c r="K647" s="24"/>
      <c r="L647" s="22"/>
    </row>
    <row r="648" spans="1:12" ht="12.75">
      <c r="A648" s="22"/>
      <c r="B648" s="22"/>
      <c r="C648" s="22"/>
      <c r="D648" s="22"/>
      <c r="E648" s="22"/>
      <c r="F648" s="22"/>
      <c r="G648" s="1023"/>
      <c r="H648" s="22"/>
      <c r="I648" s="22"/>
      <c r="J648" s="529"/>
      <c r="K648" s="24"/>
      <c r="L648" s="22"/>
    </row>
    <row r="649" spans="1:12" ht="12.75">
      <c r="A649" s="22"/>
      <c r="B649" s="22"/>
      <c r="C649" s="22"/>
      <c r="D649" s="22"/>
      <c r="E649" s="22"/>
      <c r="F649" s="22"/>
      <c r="G649" s="1023"/>
      <c r="H649" s="22"/>
      <c r="I649" s="22"/>
      <c r="J649" s="529"/>
      <c r="K649" s="24"/>
      <c r="L649" s="22"/>
    </row>
    <row r="650" spans="1:12" ht="12.75">
      <c r="A650" s="22"/>
      <c r="B650" s="22"/>
      <c r="C650" s="22"/>
      <c r="D650" s="22"/>
      <c r="E650" s="22"/>
      <c r="F650" s="22"/>
      <c r="G650" s="1023"/>
      <c r="H650" s="22"/>
      <c r="I650" s="22"/>
      <c r="J650" s="529"/>
      <c r="K650" s="24"/>
      <c r="L650" s="22"/>
    </row>
    <row r="651" spans="1:12" ht="12.75">
      <c r="A651" s="22"/>
      <c r="B651" s="22"/>
      <c r="C651" s="22"/>
      <c r="D651" s="22"/>
      <c r="E651" s="22"/>
      <c r="F651" s="22"/>
      <c r="G651" s="1023"/>
      <c r="H651" s="22"/>
      <c r="I651" s="22"/>
      <c r="J651" s="529"/>
      <c r="K651" s="24"/>
      <c r="L651" s="22"/>
    </row>
    <row r="652" spans="1:12" ht="12.75">
      <c r="A652" s="22"/>
      <c r="B652" s="22"/>
      <c r="C652" s="22"/>
      <c r="D652" s="22"/>
      <c r="E652" s="22"/>
      <c r="F652" s="22"/>
      <c r="G652" s="1023"/>
      <c r="H652" s="22"/>
      <c r="I652" s="22"/>
      <c r="J652" s="529"/>
      <c r="K652" s="24"/>
      <c r="L652" s="22"/>
    </row>
    <row r="653" spans="1:12" ht="12.75">
      <c r="A653" s="22"/>
      <c r="B653" s="22"/>
      <c r="C653" s="22"/>
      <c r="D653" s="22"/>
      <c r="E653" s="22"/>
      <c r="F653" s="22"/>
      <c r="G653" s="1023"/>
      <c r="H653" s="22"/>
      <c r="I653" s="22"/>
      <c r="J653" s="529"/>
      <c r="K653" s="24"/>
      <c r="L653" s="22"/>
    </row>
    <row r="654" spans="1:12" ht="12.75">
      <c r="A654" s="22"/>
      <c r="B654" s="22"/>
      <c r="C654" s="22"/>
      <c r="D654" s="22"/>
      <c r="E654" s="22"/>
      <c r="F654" s="22"/>
      <c r="G654" s="1023"/>
      <c r="H654" s="22"/>
      <c r="I654" s="22"/>
      <c r="J654" s="529"/>
      <c r="K654" s="24"/>
      <c r="L654" s="22"/>
    </row>
    <row r="655" spans="1:12" ht="12.75">
      <c r="A655" s="22"/>
      <c r="B655" s="22"/>
      <c r="C655" s="22"/>
      <c r="D655" s="22"/>
      <c r="E655" s="22"/>
      <c r="F655" s="22"/>
      <c r="G655" s="1023"/>
      <c r="H655" s="22"/>
      <c r="I655" s="22"/>
      <c r="J655" s="529"/>
      <c r="K655" s="24"/>
      <c r="L655" s="22"/>
    </row>
    <row r="656" spans="1:12" ht="12.75">
      <c r="A656" s="22"/>
      <c r="B656" s="22"/>
      <c r="C656" s="22"/>
      <c r="D656" s="22"/>
      <c r="E656" s="22"/>
      <c r="F656" s="22"/>
      <c r="G656" s="1023"/>
      <c r="H656" s="22"/>
      <c r="I656" s="22"/>
      <c r="J656" s="529"/>
      <c r="K656" s="24"/>
      <c r="L656" s="22"/>
    </row>
    <row r="657" spans="1:12" ht="12.75">
      <c r="A657" s="22"/>
      <c r="B657" s="22"/>
      <c r="C657" s="22"/>
      <c r="D657" s="22"/>
      <c r="E657" s="22"/>
      <c r="F657" s="22"/>
      <c r="G657" s="1023"/>
      <c r="H657" s="22"/>
      <c r="I657" s="22"/>
      <c r="J657" s="529"/>
      <c r="K657" s="24"/>
      <c r="L657" s="22"/>
    </row>
    <row r="658" spans="1:12" ht="12.75">
      <c r="A658" s="22"/>
      <c r="B658" s="22"/>
      <c r="C658" s="22"/>
      <c r="D658" s="22"/>
      <c r="E658" s="22"/>
      <c r="F658" s="22"/>
      <c r="G658" s="1023"/>
      <c r="H658" s="22"/>
      <c r="I658" s="22"/>
      <c r="J658" s="529"/>
      <c r="K658" s="24"/>
      <c r="L658" s="22"/>
    </row>
    <row r="659" spans="1:12" ht="12.75">
      <c r="A659" s="22"/>
      <c r="B659" s="22"/>
      <c r="C659" s="22"/>
      <c r="D659" s="22"/>
      <c r="E659" s="22"/>
      <c r="F659" s="22"/>
      <c r="G659" s="1023"/>
      <c r="H659" s="22"/>
      <c r="I659" s="22"/>
      <c r="J659" s="529"/>
      <c r="K659" s="24"/>
      <c r="L659" s="22"/>
    </row>
    <row r="660" spans="1:12" ht="12.75">
      <c r="A660" s="22"/>
      <c r="B660" s="22"/>
      <c r="C660" s="22"/>
      <c r="D660" s="22"/>
      <c r="E660" s="22"/>
      <c r="F660" s="22"/>
      <c r="G660" s="1023"/>
      <c r="H660" s="22"/>
      <c r="I660" s="22"/>
      <c r="J660" s="529"/>
      <c r="K660" s="24"/>
      <c r="L660" s="22"/>
    </row>
    <row r="661" spans="1:12" ht="12.75">
      <c r="A661" s="22"/>
      <c r="B661" s="22"/>
      <c r="C661" s="22"/>
      <c r="D661" s="22"/>
      <c r="E661" s="22"/>
      <c r="F661" s="22"/>
      <c r="G661" s="1023"/>
      <c r="H661" s="22"/>
      <c r="I661" s="22"/>
      <c r="J661" s="529"/>
      <c r="K661" s="24"/>
      <c r="L661" s="22"/>
    </row>
    <row r="662" spans="1:12" ht="12.75">
      <c r="A662" s="22"/>
      <c r="B662" s="22"/>
      <c r="C662" s="22"/>
      <c r="D662" s="22"/>
      <c r="E662" s="22"/>
      <c r="F662" s="22"/>
      <c r="G662" s="1023"/>
      <c r="H662" s="22"/>
      <c r="I662" s="22"/>
      <c r="J662" s="529"/>
      <c r="K662" s="24"/>
      <c r="L662" s="22"/>
    </row>
    <row r="663" spans="1:12" ht="12.75">
      <c r="A663" s="22"/>
      <c r="B663" s="22"/>
      <c r="C663" s="22"/>
      <c r="D663" s="22"/>
      <c r="E663" s="22"/>
      <c r="F663" s="22"/>
      <c r="G663" s="1023"/>
      <c r="H663" s="22"/>
      <c r="I663" s="22"/>
      <c r="J663" s="529"/>
      <c r="K663" s="24"/>
      <c r="L663" s="22"/>
    </row>
    <row r="664" spans="1:12" ht="12.75">
      <c r="A664" s="22"/>
      <c r="B664" s="22"/>
      <c r="C664" s="22"/>
      <c r="D664" s="22"/>
      <c r="E664" s="22"/>
      <c r="F664" s="22"/>
      <c r="G664" s="1023"/>
      <c r="H664" s="22"/>
      <c r="I664" s="22"/>
      <c r="J664" s="529"/>
      <c r="K664" s="24"/>
      <c r="L664" s="22"/>
    </row>
    <row r="665" spans="1:12" ht="12.75">
      <c r="A665" s="22"/>
      <c r="B665" s="22"/>
      <c r="C665" s="22"/>
      <c r="D665" s="22"/>
      <c r="E665" s="22"/>
      <c r="F665" s="22"/>
      <c r="G665" s="1023"/>
      <c r="H665" s="22"/>
      <c r="I665" s="22"/>
      <c r="J665" s="529"/>
      <c r="K665" s="24"/>
      <c r="L665" s="22"/>
    </row>
    <row r="666" spans="1:12" ht="12.75">
      <c r="A666" s="22"/>
      <c r="B666" s="22"/>
      <c r="C666" s="22"/>
      <c r="D666" s="22"/>
      <c r="E666" s="22"/>
      <c r="F666" s="22"/>
      <c r="G666" s="1023"/>
      <c r="H666" s="22"/>
      <c r="I666" s="22"/>
      <c r="J666" s="529"/>
      <c r="K666" s="24"/>
      <c r="L666" s="22"/>
    </row>
    <row r="667" spans="1:12" ht="12.75">
      <c r="A667" s="22"/>
      <c r="B667" s="22"/>
      <c r="C667" s="22"/>
      <c r="D667" s="22"/>
      <c r="E667" s="22"/>
      <c r="F667" s="22"/>
      <c r="G667" s="1023"/>
      <c r="H667" s="22"/>
      <c r="I667" s="22"/>
      <c r="J667" s="529"/>
      <c r="K667" s="24"/>
      <c r="L667" s="22"/>
    </row>
    <row r="668" spans="1:12" ht="12.75">
      <c r="A668" s="22"/>
      <c r="B668" s="22"/>
      <c r="C668" s="22"/>
      <c r="D668" s="22"/>
      <c r="E668" s="22"/>
      <c r="F668" s="22"/>
      <c r="G668" s="1023"/>
      <c r="H668" s="22"/>
      <c r="I668" s="22"/>
      <c r="J668" s="529"/>
      <c r="K668" s="24"/>
      <c r="L668" s="22"/>
    </row>
    <row r="669" spans="1:12" ht="12.75">
      <c r="A669" s="22"/>
      <c r="B669" s="22"/>
      <c r="C669" s="22"/>
      <c r="D669" s="22"/>
      <c r="E669" s="22"/>
      <c r="F669" s="22"/>
      <c r="G669" s="1023"/>
      <c r="H669" s="22"/>
      <c r="I669" s="22"/>
      <c r="J669" s="529"/>
      <c r="K669" s="24"/>
      <c r="L669" s="22"/>
    </row>
    <row r="670" spans="1:12" ht="12.75">
      <c r="A670" s="22"/>
      <c r="B670" s="22"/>
      <c r="C670" s="22"/>
      <c r="D670" s="22"/>
      <c r="E670" s="22"/>
      <c r="F670" s="22"/>
      <c r="G670" s="1023"/>
      <c r="H670" s="22"/>
      <c r="I670" s="22"/>
      <c r="J670" s="529"/>
      <c r="K670" s="24"/>
      <c r="L670" s="22"/>
    </row>
    <row r="671" spans="1:12" ht="12.75">
      <c r="A671" s="22"/>
      <c r="B671" s="22"/>
      <c r="C671" s="22"/>
      <c r="D671" s="22"/>
      <c r="E671" s="22"/>
      <c r="F671" s="22"/>
      <c r="G671" s="1023"/>
      <c r="H671" s="22"/>
      <c r="I671" s="22"/>
      <c r="J671" s="529"/>
      <c r="K671" s="24"/>
      <c r="L671" s="22"/>
    </row>
    <row r="672" spans="1:12" ht="12.75">
      <c r="A672" s="22"/>
      <c r="B672" s="22"/>
      <c r="C672" s="22"/>
      <c r="D672" s="22"/>
      <c r="E672" s="22"/>
      <c r="F672" s="22"/>
      <c r="G672" s="1023"/>
      <c r="H672" s="22"/>
      <c r="I672" s="22"/>
      <c r="J672" s="529"/>
      <c r="K672" s="24"/>
      <c r="L672" s="22"/>
    </row>
    <row r="673" spans="1:12" ht="12.75">
      <c r="A673" s="22"/>
      <c r="B673" s="22"/>
      <c r="C673" s="22"/>
      <c r="D673" s="22"/>
      <c r="E673" s="22"/>
      <c r="F673" s="22"/>
      <c r="G673" s="1023"/>
      <c r="H673" s="22"/>
      <c r="I673" s="22"/>
      <c r="J673" s="529"/>
      <c r="K673" s="24"/>
      <c r="L673" s="22"/>
    </row>
    <row r="674" spans="1:12" ht="12.75">
      <c r="A674" s="22"/>
      <c r="B674" s="22"/>
      <c r="C674" s="22"/>
      <c r="D674" s="22"/>
      <c r="E674" s="22"/>
      <c r="F674" s="22"/>
      <c r="G674" s="1023"/>
      <c r="H674" s="22"/>
      <c r="I674" s="22"/>
      <c r="J674" s="529"/>
      <c r="K674" s="24"/>
      <c r="L674" s="22"/>
    </row>
    <row r="675" spans="1:12" ht="12.75">
      <c r="A675" s="22"/>
      <c r="B675" s="22"/>
      <c r="C675" s="22"/>
      <c r="D675" s="22"/>
      <c r="E675" s="22"/>
      <c r="F675" s="22"/>
      <c r="G675" s="1023"/>
      <c r="H675" s="22"/>
      <c r="I675" s="22"/>
      <c r="J675" s="529"/>
      <c r="K675" s="24"/>
      <c r="L675" s="22"/>
    </row>
    <row r="676" spans="1:12" ht="12.75">
      <c r="A676" s="22"/>
      <c r="B676" s="22"/>
      <c r="C676" s="22"/>
      <c r="D676" s="22"/>
      <c r="E676" s="22"/>
      <c r="F676" s="22"/>
      <c r="G676" s="1023"/>
      <c r="H676" s="22"/>
      <c r="I676" s="22"/>
      <c r="J676" s="529"/>
      <c r="K676" s="24"/>
      <c r="L676" s="22"/>
    </row>
    <row r="677" spans="1:12" ht="12.75">
      <c r="A677" s="22"/>
      <c r="B677" s="22"/>
      <c r="C677" s="22"/>
      <c r="D677" s="22"/>
      <c r="E677" s="22"/>
      <c r="F677" s="22"/>
      <c r="G677" s="1023"/>
      <c r="H677" s="22"/>
      <c r="I677" s="22"/>
      <c r="J677" s="529"/>
      <c r="K677" s="24"/>
      <c r="L677" s="22"/>
    </row>
    <row r="678" spans="1:12" ht="12.75">
      <c r="A678" s="22"/>
      <c r="B678" s="22"/>
      <c r="C678" s="22"/>
      <c r="D678" s="22"/>
      <c r="E678" s="22"/>
      <c r="F678" s="22"/>
      <c r="G678" s="1023"/>
      <c r="H678" s="22"/>
      <c r="I678" s="22"/>
      <c r="J678" s="529"/>
      <c r="K678" s="24"/>
      <c r="L678" s="22"/>
    </row>
    <row r="679" spans="1:12" ht="12.75">
      <c r="A679" s="22"/>
      <c r="B679" s="22"/>
      <c r="C679" s="22"/>
      <c r="D679" s="22"/>
      <c r="E679" s="22"/>
      <c r="F679" s="22"/>
      <c r="G679" s="1023"/>
      <c r="H679" s="22"/>
      <c r="I679" s="22"/>
      <c r="J679" s="529"/>
      <c r="K679" s="24"/>
      <c r="L679" s="22"/>
    </row>
    <row r="680" spans="1:12" ht="12.75">
      <c r="A680" s="22"/>
      <c r="B680" s="22"/>
      <c r="C680" s="22"/>
      <c r="D680" s="22"/>
      <c r="E680" s="22"/>
      <c r="F680" s="22"/>
      <c r="G680" s="1023"/>
      <c r="H680" s="22"/>
      <c r="I680" s="22"/>
      <c r="J680" s="529"/>
      <c r="K680" s="24"/>
      <c r="L680" s="22"/>
    </row>
    <row r="681" spans="1:12" ht="12.75">
      <c r="A681" s="22"/>
      <c r="B681" s="22"/>
      <c r="C681" s="22"/>
      <c r="D681" s="22"/>
      <c r="E681" s="22"/>
      <c r="F681" s="22"/>
      <c r="G681" s="1023"/>
      <c r="H681" s="22"/>
      <c r="I681" s="22"/>
      <c r="J681" s="529"/>
      <c r="K681" s="24"/>
      <c r="L681" s="22"/>
    </row>
    <row r="682" spans="1:12" ht="12.75">
      <c r="A682" s="22"/>
      <c r="B682" s="22"/>
      <c r="C682" s="22"/>
      <c r="D682" s="22"/>
      <c r="E682" s="22"/>
      <c r="F682" s="22"/>
      <c r="G682" s="1023"/>
      <c r="H682" s="22"/>
      <c r="I682" s="22"/>
      <c r="J682" s="529"/>
      <c r="K682" s="24"/>
      <c r="L682" s="22"/>
    </row>
    <row r="683" spans="1:12" ht="12.75">
      <c r="A683" s="22"/>
      <c r="B683" s="22"/>
      <c r="C683" s="22"/>
      <c r="D683" s="22"/>
      <c r="E683" s="22"/>
      <c r="F683" s="22"/>
      <c r="G683" s="1023"/>
      <c r="H683" s="22"/>
      <c r="I683" s="22"/>
      <c r="J683" s="529"/>
      <c r="K683" s="24"/>
      <c r="L683" s="22"/>
    </row>
    <row r="684" spans="1:12" ht="12.75">
      <c r="A684" s="22"/>
      <c r="B684" s="22"/>
      <c r="C684" s="22"/>
      <c r="D684" s="22"/>
      <c r="E684" s="22"/>
      <c r="F684" s="22"/>
      <c r="G684" s="1023"/>
      <c r="H684" s="22"/>
      <c r="I684" s="22"/>
      <c r="J684" s="529"/>
      <c r="K684" s="24"/>
      <c r="L684" s="22"/>
    </row>
    <row r="685" spans="1:12" ht="12.75">
      <c r="A685" s="22"/>
      <c r="B685" s="22"/>
      <c r="C685" s="22"/>
      <c r="D685" s="22"/>
      <c r="E685" s="22"/>
      <c r="F685" s="22"/>
      <c r="G685" s="1023"/>
      <c r="H685" s="22"/>
      <c r="I685" s="22"/>
      <c r="J685" s="529"/>
      <c r="K685" s="24"/>
      <c r="L685" s="22"/>
    </row>
    <row r="686" spans="1:12" ht="12.75">
      <c r="A686" s="22"/>
      <c r="B686" s="22"/>
      <c r="C686" s="22"/>
      <c r="D686" s="22"/>
      <c r="E686" s="22"/>
      <c r="F686" s="22"/>
      <c r="G686" s="1023"/>
      <c r="H686" s="22"/>
      <c r="I686" s="22"/>
      <c r="J686" s="529"/>
      <c r="K686" s="24"/>
      <c r="L686" s="22"/>
    </row>
    <row r="687" spans="1:12" ht="12.75">
      <c r="A687" s="22"/>
      <c r="B687" s="22"/>
      <c r="C687" s="22"/>
      <c r="D687" s="22"/>
      <c r="E687" s="22"/>
      <c r="F687" s="22"/>
      <c r="G687" s="1023"/>
      <c r="H687" s="22"/>
      <c r="I687" s="22"/>
      <c r="J687" s="529"/>
      <c r="K687" s="24"/>
      <c r="L687" s="22"/>
    </row>
    <row r="688" spans="1:12" ht="12.75">
      <c r="A688" s="22"/>
      <c r="B688" s="22"/>
      <c r="C688" s="22"/>
      <c r="D688" s="22"/>
      <c r="E688" s="22"/>
      <c r="F688" s="22"/>
      <c r="G688" s="1023"/>
      <c r="H688" s="22"/>
      <c r="I688" s="22"/>
      <c r="J688" s="529"/>
      <c r="K688" s="24"/>
      <c r="L688" s="22"/>
    </row>
    <row r="689" spans="1:12" ht="12.75">
      <c r="A689" s="22"/>
      <c r="B689" s="22"/>
      <c r="C689" s="22"/>
      <c r="D689" s="22"/>
      <c r="E689" s="22"/>
      <c r="F689" s="22"/>
      <c r="G689" s="1023"/>
      <c r="H689" s="22"/>
      <c r="I689" s="22"/>
      <c r="J689" s="529"/>
      <c r="K689" s="24"/>
      <c r="L689" s="22"/>
    </row>
    <row r="690" spans="1:12" ht="12.75">
      <c r="A690" s="22"/>
      <c r="B690" s="22"/>
      <c r="C690" s="22"/>
      <c r="D690" s="22"/>
      <c r="E690" s="22"/>
      <c r="F690" s="22"/>
      <c r="G690" s="1023"/>
      <c r="H690" s="22"/>
      <c r="I690" s="22"/>
      <c r="J690" s="529"/>
      <c r="K690" s="24"/>
      <c r="L690" s="22"/>
    </row>
    <row r="691" spans="1:12" ht="12.75">
      <c r="A691" s="22"/>
      <c r="B691" s="22"/>
      <c r="C691" s="22"/>
      <c r="D691" s="22"/>
      <c r="E691" s="22"/>
      <c r="F691" s="22"/>
      <c r="G691" s="1023"/>
      <c r="H691" s="22"/>
      <c r="I691" s="22"/>
      <c r="J691" s="529"/>
      <c r="K691" s="24"/>
      <c r="L691" s="22"/>
    </row>
    <row r="692" spans="1:12" ht="12.75">
      <c r="A692" s="22"/>
      <c r="B692" s="22"/>
      <c r="C692" s="22"/>
      <c r="D692" s="22"/>
      <c r="E692" s="22"/>
      <c r="F692" s="22"/>
      <c r="G692" s="1023"/>
      <c r="H692" s="22"/>
      <c r="I692" s="22"/>
      <c r="J692" s="529"/>
      <c r="K692" s="24"/>
      <c r="L692" s="22"/>
    </row>
    <row r="693" spans="1:12" ht="12.75">
      <c r="A693" s="22"/>
      <c r="B693" s="22"/>
      <c r="C693" s="22"/>
      <c r="D693" s="22"/>
      <c r="E693" s="22"/>
      <c r="F693" s="22"/>
      <c r="G693" s="1023"/>
      <c r="H693" s="22"/>
      <c r="I693" s="22"/>
      <c r="J693" s="529"/>
      <c r="K693" s="24"/>
      <c r="L693" s="22"/>
    </row>
    <row r="694" spans="1:12" ht="12.75">
      <c r="A694" s="22"/>
      <c r="B694" s="22"/>
      <c r="C694" s="22"/>
      <c r="D694" s="22"/>
      <c r="E694" s="22"/>
      <c r="F694" s="22"/>
      <c r="G694" s="1023"/>
      <c r="H694" s="22"/>
      <c r="I694" s="22"/>
      <c r="J694" s="529"/>
      <c r="K694" s="24"/>
      <c r="L694" s="22"/>
    </row>
    <row r="695" spans="1:12" ht="12.75">
      <c r="A695" s="22"/>
      <c r="B695" s="22"/>
      <c r="C695" s="22"/>
      <c r="D695" s="22"/>
      <c r="E695" s="22"/>
      <c r="F695" s="22"/>
      <c r="G695" s="1023"/>
      <c r="H695" s="22"/>
      <c r="I695" s="22"/>
      <c r="J695" s="529"/>
      <c r="K695" s="24"/>
      <c r="L695" s="22"/>
    </row>
    <row r="696" spans="1:12" ht="12.75">
      <c r="A696" s="22"/>
      <c r="B696" s="22"/>
      <c r="C696" s="22"/>
      <c r="D696" s="22"/>
      <c r="E696" s="22"/>
      <c r="F696" s="22"/>
      <c r="G696" s="1023"/>
      <c r="H696" s="22"/>
      <c r="I696" s="22"/>
      <c r="J696" s="529"/>
      <c r="K696" s="24"/>
      <c r="L696" s="22"/>
    </row>
    <row r="697" spans="1:12" ht="12.75">
      <c r="A697" s="22"/>
      <c r="B697" s="22"/>
      <c r="C697" s="22"/>
      <c r="D697" s="22"/>
      <c r="E697" s="22"/>
      <c r="F697" s="22"/>
      <c r="G697" s="1023"/>
      <c r="H697" s="22"/>
      <c r="I697" s="22"/>
      <c r="J697" s="529"/>
      <c r="K697" s="24"/>
      <c r="L697" s="22"/>
    </row>
    <row r="698" spans="1:12" ht="12.75">
      <c r="A698" s="22"/>
      <c r="B698" s="22"/>
      <c r="C698" s="22"/>
      <c r="D698" s="22"/>
      <c r="E698" s="22"/>
      <c r="F698" s="22"/>
      <c r="G698" s="1023"/>
      <c r="H698" s="22"/>
      <c r="I698" s="22"/>
      <c r="J698" s="529"/>
      <c r="K698" s="24"/>
      <c r="L698" s="22"/>
    </row>
    <row r="699" spans="1:12" ht="12.75">
      <c r="A699" s="22"/>
      <c r="B699" s="22"/>
      <c r="C699" s="22"/>
      <c r="D699" s="22"/>
      <c r="E699" s="22"/>
      <c r="F699" s="22"/>
      <c r="G699" s="1023"/>
      <c r="H699" s="22"/>
      <c r="I699" s="22"/>
      <c r="J699" s="529"/>
      <c r="K699" s="24"/>
      <c r="L699" s="22"/>
    </row>
    <row r="700" spans="1:12" ht="12.75">
      <c r="A700" s="22"/>
      <c r="B700" s="22"/>
      <c r="C700" s="22"/>
      <c r="D700" s="22"/>
      <c r="E700" s="22"/>
      <c r="F700" s="22"/>
      <c r="G700" s="1023"/>
      <c r="H700" s="22"/>
      <c r="I700" s="22"/>
      <c r="J700" s="529"/>
      <c r="K700" s="24"/>
      <c r="L700" s="22"/>
    </row>
    <row r="701" spans="1:12" ht="12.75">
      <c r="A701" s="22"/>
      <c r="B701" s="22"/>
      <c r="C701" s="22"/>
      <c r="D701" s="22"/>
      <c r="E701" s="22"/>
      <c r="F701" s="22"/>
      <c r="G701" s="1023"/>
      <c r="H701" s="22"/>
      <c r="I701" s="22"/>
      <c r="J701" s="529"/>
      <c r="K701" s="24"/>
      <c r="L701" s="22"/>
    </row>
    <row r="702" spans="1:12" ht="12.75">
      <c r="A702" s="22"/>
      <c r="B702" s="22"/>
      <c r="C702" s="22"/>
      <c r="D702" s="22"/>
      <c r="E702" s="22"/>
      <c r="F702" s="22"/>
      <c r="G702" s="1023"/>
      <c r="H702" s="22"/>
      <c r="I702" s="22"/>
      <c r="J702" s="529"/>
      <c r="K702" s="24"/>
      <c r="L702" s="22"/>
    </row>
    <row r="703" spans="1:12" ht="12.75">
      <c r="A703" s="22"/>
      <c r="B703" s="22"/>
      <c r="C703" s="22"/>
      <c r="D703" s="22"/>
      <c r="E703" s="22"/>
      <c r="F703" s="22"/>
      <c r="G703" s="1023"/>
      <c r="H703" s="22"/>
      <c r="I703" s="22"/>
      <c r="J703" s="529"/>
      <c r="K703" s="24"/>
      <c r="L703" s="22"/>
    </row>
    <row r="704" spans="1:12" ht="12.75">
      <c r="A704" s="22"/>
      <c r="B704" s="22"/>
      <c r="C704" s="22"/>
      <c r="D704" s="22"/>
      <c r="E704" s="22"/>
      <c r="F704" s="22"/>
      <c r="G704" s="1023"/>
      <c r="H704" s="22"/>
      <c r="I704" s="22"/>
      <c r="J704" s="529"/>
      <c r="K704" s="24"/>
      <c r="L704" s="22"/>
    </row>
    <row r="705" spans="1:12" ht="12.75">
      <c r="A705" s="22"/>
      <c r="B705" s="22"/>
      <c r="C705" s="22"/>
      <c r="D705" s="22"/>
      <c r="E705" s="22"/>
      <c r="F705" s="22"/>
      <c r="G705" s="1023"/>
      <c r="H705" s="22"/>
      <c r="I705" s="22"/>
      <c r="J705" s="529"/>
      <c r="K705" s="24"/>
      <c r="L705" s="22"/>
    </row>
    <row r="706" spans="1:12" ht="12.75">
      <c r="A706" s="22"/>
      <c r="B706" s="22"/>
      <c r="C706" s="22"/>
      <c r="D706" s="22"/>
      <c r="E706" s="22"/>
      <c r="F706" s="22"/>
      <c r="G706" s="1023"/>
      <c r="H706" s="22"/>
      <c r="I706" s="22"/>
      <c r="J706" s="529"/>
      <c r="K706" s="24"/>
      <c r="L706" s="22"/>
    </row>
    <row r="707" spans="1:12" ht="12.75">
      <c r="A707" s="22"/>
      <c r="B707" s="22"/>
      <c r="C707" s="22"/>
      <c r="D707" s="22"/>
      <c r="E707" s="22"/>
      <c r="F707" s="22"/>
      <c r="G707" s="1023"/>
      <c r="H707" s="22"/>
      <c r="I707" s="22"/>
      <c r="J707" s="529"/>
      <c r="K707" s="24"/>
      <c r="L707" s="22"/>
    </row>
    <row r="708" spans="1:12" ht="12.75">
      <c r="A708" s="22"/>
      <c r="B708" s="22"/>
      <c r="C708" s="22"/>
      <c r="D708" s="22"/>
      <c r="E708" s="22"/>
      <c r="F708" s="22"/>
      <c r="G708" s="1023"/>
      <c r="H708" s="22"/>
      <c r="I708" s="22"/>
      <c r="J708" s="529"/>
      <c r="K708" s="24"/>
      <c r="L708" s="22"/>
    </row>
    <row r="709" spans="1:12" ht="12.75">
      <c r="A709" s="22"/>
      <c r="B709" s="22"/>
      <c r="C709" s="22"/>
      <c r="D709" s="22"/>
      <c r="E709" s="22"/>
      <c r="F709" s="22"/>
      <c r="G709" s="1023"/>
      <c r="H709" s="22"/>
      <c r="I709" s="22"/>
      <c r="J709" s="529"/>
      <c r="K709" s="24"/>
      <c r="L709" s="22"/>
    </row>
    <row r="710" spans="1:12" ht="12.75">
      <c r="A710" s="22"/>
      <c r="B710" s="22"/>
      <c r="C710" s="22"/>
      <c r="D710" s="22"/>
      <c r="E710" s="22"/>
      <c r="F710" s="22"/>
      <c r="G710" s="1023"/>
      <c r="H710" s="22"/>
      <c r="I710" s="22"/>
      <c r="J710" s="529"/>
      <c r="K710" s="24"/>
      <c r="L710" s="22"/>
    </row>
    <row r="711" spans="1:12" ht="12.75">
      <c r="A711" s="22"/>
      <c r="B711" s="22"/>
      <c r="C711" s="22"/>
      <c r="D711" s="22"/>
      <c r="E711" s="22"/>
      <c r="F711" s="22"/>
      <c r="G711" s="1023"/>
      <c r="H711" s="22"/>
      <c r="I711" s="22"/>
      <c r="J711" s="529"/>
      <c r="K711" s="24"/>
      <c r="L711" s="22"/>
    </row>
    <row r="712" spans="1:12" ht="12.75">
      <c r="A712" s="22"/>
      <c r="B712" s="22"/>
      <c r="C712" s="22"/>
      <c r="D712" s="22"/>
      <c r="E712" s="22"/>
      <c r="F712" s="22"/>
      <c r="G712" s="1023"/>
      <c r="H712" s="22"/>
      <c r="I712" s="22"/>
      <c r="J712" s="529"/>
      <c r="K712" s="24"/>
      <c r="L712" s="22"/>
    </row>
    <row r="713" spans="1:12" ht="12.75">
      <c r="A713" s="22"/>
      <c r="B713" s="22"/>
      <c r="C713" s="22"/>
      <c r="D713" s="22"/>
      <c r="E713" s="22"/>
      <c r="F713" s="22"/>
      <c r="G713" s="1023"/>
      <c r="H713" s="22"/>
      <c r="I713" s="22"/>
      <c r="J713" s="529"/>
      <c r="K713" s="24"/>
      <c r="L713" s="22"/>
    </row>
    <row r="714" spans="1:12" ht="12.75">
      <c r="A714" s="22"/>
      <c r="B714" s="22"/>
      <c r="C714" s="22"/>
      <c r="D714" s="22"/>
      <c r="E714" s="22"/>
      <c r="F714" s="22"/>
      <c r="G714" s="1023"/>
      <c r="H714" s="22"/>
      <c r="I714" s="22"/>
      <c r="J714" s="529"/>
      <c r="K714" s="24"/>
      <c r="L714" s="22"/>
    </row>
    <row r="715" spans="1:12" ht="12.75">
      <c r="A715" s="22"/>
      <c r="B715" s="22"/>
      <c r="C715" s="22"/>
      <c r="D715" s="22"/>
      <c r="E715" s="22"/>
      <c r="F715" s="22"/>
      <c r="G715" s="1023"/>
      <c r="H715" s="22"/>
      <c r="I715" s="22"/>
      <c r="J715" s="529"/>
      <c r="K715" s="24"/>
      <c r="L715" s="22"/>
    </row>
    <row r="716" spans="1:12" ht="12.75">
      <c r="A716" s="22"/>
      <c r="B716" s="22"/>
      <c r="C716" s="22"/>
      <c r="D716" s="22"/>
      <c r="E716" s="22"/>
      <c r="F716" s="22"/>
      <c r="G716" s="1023"/>
      <c r="H716" s="22"/>
      <c r="I716" s="22"/>
      <c r="J716" s="529"/>
      <c r="K716" s="24"/>
      <c r="L716" s="22"/>
    </row>
    <row r="717" spans="1:12" ht="12.75">
      <c r="A717" s="22"/>
      <c r="B717" s="22"/>
      <c r="C717" s="22"/>
      <c r="D717" s="22"/>
      <c r="E717" s="22"/>
      <c r="F717" s="22"/>
      <c r="G717" s="1023"/>
      <c r="H717" s="22"/>
      <c r="I717" s="22"/>
      <c r="J717" s="529"/>
      <c r="K717" s="24"/>
      <c r="L717" s="22"/>
    </row>
    <row r="718" spans="1:12" ht="12.75">
      <c r="A718" s="22"/>
      <c r="B718" s="22"/>
      <c r="C718" s="22"/>
      <c r="D718" s="22"/>
      <c r="E718" s="22"/>
      <c r="F718" s="22"/>
      <c r="G718" s="1023"/>
      <c r="H718" s="22"/>
      <c r="I718" s="22"/>
      <c r="J718" s="529"/>
      <c r="K718" s="24"/>
      <c r="L718" s="22"/>
    </row>
    <row r="719" spans="1:12" ht="12.75">
      <c r="A719" s="22"/>
      <c r="B719" s="22"/>
      <c r="C719" s="22"/>
      <c r="D719" s="22"/>
      <c r="E719" s="22"/>
      <c r="F719" s="22"/>
      <c r="G719" s="1023"/>
      <c r="H719" s="22"/>
      <c r="I719" s="22"/>
      <c r="J719" s="529"/>
      <c r="K719" s="24"/>
      <c r="L719" s="22"/>
    </row>
    <row r="720" spans="1:12" ht="12.75">
      <c r="A720" s="22"/>
      <c r="B720" s="22"/>
      <c r="C720" s="22"/>
      <c r="D720" s="22"/>
      <c r="E720" s="22"/>
      <c r="F720" s="22"/>
      <c r="G720" s="1023"/>
      <c r="H720" s="22"/>
      <c r="I720" s="22"/>
      <c r="J720" s="529"/>
      <c r="K720" s="24"/>
      <c r="L720" s="22"/>
    </row>
    <row r="721" spans="1:12" ht="12.75">
      <c r="A721" s="22"/>
      <c r="B721" s="22"/>
      <c r="C721" s="22"/>
      <c r="D721" s="22"/>
      <c r="E721" s="22"/>
      <c r="F721" s="22"/>
      <c r="G721" s="1023"/>
      <c r="H721" s="22"/>
      <c r="I721" s="22"/>
      <c r="J721" s="529"/>
      <c r="K721" s="24"/>
      <c r="L721" s="22"/>
    </row>
    <row r="722" spans="1:12" ht="12.75">
      <c r="A722" s="22"/>
      <c r="B722" s="22"/>
      <c r="C722" s="22"/>
      <c r="D722" s="22"/>
      <c r="E722" s="22"/>
      <c r="F722" s="22"/>
      <c r="G722" s="1023"/>
      <c r="H722" s="22"/>
      <c r="I722" s="22"/>
      <c r="J722" s="529"/>
      <c r="K722" s="24"/>
      <c r="L722" s="22"/>
    </row>
    <row r="723" spans="1:12" ht="12.75">
      <c r="A723" s="22"/>
      <c r="B723" s="22"/>
      <c r="C723" s="22"/>
      <c r="D723" s="22"/>
      <c r="E723" s="22"/>
      <c r="F723" s="22"/>
      <c r="G723" s="1023"/>
      <c r="H723" s="22"/>
      <c r="I723" s="22"/>
      <c r="J723" s="529"/>
      <c r="K723" s="24"/>
      <c r="L723" s="22"/>
    </row>
    <row r="724" spans="1:12" ht="12.75">
      <c r="A724" s="22"/>
      <c r="B724" s="22"/>
      <c r="C724" s="22"/>
      <c r="D724" s="22"/>
      <c r="E724" s="22"/>
      <c r="F724" s="22"/>
      <c r="G724" s="1023"/>
      <c r="H724" s="22"/>
      <c r="I724" s="22"/>
      <c r="J724" s="529"/>
      <c r="K724" s="24"/>
      <c r="L724" s="22"/>
    </row>
    <row r="725" spans="1:12" ht="12.75">
      <c r="A725" s="22"/>
      <c r="B725" s="22"/>
      <c r="C725" s="22"/>
      <c r="D725" s="22"/>
      <c r="E725" s="22"/>
      <c r="F725" s="22"/>
      <c r="G725" s="1023"/>
      <c r="H725" s="22"/>
      <c r="I725" s="22"/>
      <c r="J725" s="529"/>
      <c r="K725" s="24"/>
      <c r="L725" s="22"/>
    </row>
    <row r="726" spans="1:12" ht="12.75">
      <c r="A726" s="22"/>
      <c r="B726" s="22"/>
      <c r="C726" s="22"/>
      <c r="D726" s="22"/>
      <c r="E726" s="22"/>
      <c r="F726" s="22"/>
      <c r="G726" s="1023"/>
      <c r="H726" s="22"/>
      <c r="I726" s="22"/>
      <c r="J726" s="529"/>
      <c r="K726" s="24"/>
      <c r="L726" s="22"/>
    </row>
    <row r="727" spans="1:12" ht="12.75">
      <c r="A727" s="22"/>
      <c r="B727" s="22"/>
      <c r="C727" s="22"/>
      <c r="D727" s="22"/>
      <c r="E727" s="22"/>
      <c r="F727" s="22"/>
      <c r="G727" s="1023"/>
      <c r="H727" s="22"/>
      <c r="I727" s="22"/>
      <c r="J727" s="529"/>
      <c r="K727" s="24"/>
      <c r="L727" s="22"/>
    </row>
    <row r="728" spans="1:12" ht="12.75">
      <c r="A728" s="22"/>
      <c r="B728" s="22"/>
      <c r="C728" s="22"/>
      <c r="D728" s="22"/>
      <c r="E728" s="22"/>
      <c r="F728" s="22"/>
      <c r="G728" s="1023"/>
      <c r="H728" s="22"/>
      <c r="I728" s="22"/>
      <c r="J728" s="529"/>
      <c r="K728" s="24"/>
      <c r="L728" s="22"/>
    </row>
    <row r="729" spans="1:12" ht="12.75">
      <c r="A729" s="22"/>
      <c r="B729" s="22"/>
      <c r="C729" s="22"/>
      <c r="D729" s="22"/>
      <c r="E729" s="22"/>
      <c r="F729" s="22"/>
      <c r="G729" s="1023"/>
      <c r="H729" s="22"/>
      <c r="I729" s="22"/>
      <c r="J729" s="529"/>
      <c r="K729" s="24"/>
      <c r="L729" s="22"/>
    </row>
    <row r="730" spans="1:12" ht="12.75">
      <c r="A730" s="22"/>
      <c r="B730" s="22"/>
      <c r="C730" s="22"/>
      <c r="D730" s="22"/>
      <c r="E730" s="22"/>
      <c r="F730" s="22"/>
      <c r="G730" s="1023"/>
      <c r="H730" s="22"/>
      <c r="I730" s="22"/>
      <c r="J730" s="529"/>
      <c r="K730" s="24"/>
      <c r="L730" s="22"/>
    </row>
    <row r="731" spans="1:12" ht="12.75">
      <c r="A731" s="22"/>
      <c r="B731" s="22"/>
      <c r="C731" s="22"/>
      <c r="D731" s="22"/>
      <c r="E731" s="22"/>
      <c r="F731" s="22"/>
      <c r="G731" s="1023"/>
      <c r="H731" s="22"/>
      <c r="I731" s="22"/>
      <c r="J731" s="529"/>
      <c r="K731" s="24"/>
      <c r="L731" s="22"/>
    </row>
    <row r="732" spans="1:12" ht="12.75">
      <c r="A732" s="22"/>
      <c r="B732" s="22"/>
      <c r="C732" s="22"/>
      <c r="D732" s="22"/>
      <c r="E732" s="22"/>
      <c r="F732" s="22"/>
      <c r="G732" s="1023"/>
      <c r="H732" s="22"/>
      <c r="I732" s="22"/>
      <c r="J732" s="529"/>
      <c r="K732" s="24"/>
      <c r="L732" s="22"/>
    </row>
    <row r="733" spans="1:12" ht="12.75">
      <c r="A733" s="22"/>
      <c r="B733" s="22"/>
      <c r="C733" s="22"/>
      <c r="D733" s="22"/>
      <c r="E733" s="22"/>
      <c r="F733" s="22"/>
      <c r="G733" s="1023"/>
      <c r="H733" s="22"/>
      <c r="I733" s="22"/>
      <c r="J733" s="529"/>
      <c r="K733" s="24"/>
      <c r="L733" s="22"/>
    </row>
    <row r="734" spans="1:12" ht="12.75">
      <c r="A734" s="22"/>
      <c r="B734" s="22"/>
      <c r="C734" s="22"/>
      <c r="D734" s="22"/>
      <c r="E734" s="22"/>
      <c r="F734" s="22"/>
      <c r="G734" s="1023"/>
      <c r="H734" s="22"/>
      <c r="I734" s="22"/>
      <c r="J734" s="529"/>
      <c r="K734" s="24"/>
      <c r="L734" s="22"/>
    </row>
    <row r="735" spans="1:12" ht="12.75">
      <c r="A735" s="22"/>
      <c r="B735" s="22"/>
      <c r="C735" s="22"/>
      <c r="D735" s="22"/>
      <c r="E735" s="22"/>
      <c r="F735" s="22"/>
      <c r="G735" s="1023"/>
      <c r="H735" s="22"/>
      <c r="I735" s="22"/>
      <c r="J735" s="529"/>
      <c r="K735" s="24"/>
      <c r="L735" s="22"/>
    </row>
    <row r="736" spans="1:12" ht="12.75">
      <c r="A736" s="22"/>
      <c r="B736" s="22"/>
      <c r="C736" s="22"/>
      <c r="D736" s="22"/>
      <c r="E736" s="22"/>
      <c r="F736" s="22"/>
      <c r="G736" s="1023"/>
      <c r="H736" s="22"/>
      <c r="I736" s="22"/>
      <c r="J736" s="529"/>
      <c r="K736" s="24"/>
      <c r="L736" s="22"/>
    </row>
    <row r="737" spans="1:12" ht="12.75">
      <c r="A737" s="22"/>
      <c r="B737" s="22"/>
      <c r="C737" s="22"/>
      <c r="D737" s="22"/>
      <c r="E737" s="22"/>
      <c r="F737" s="22"/>
      <c r="G737" s="1023"/>
      <c r="H737" s="22"/>
      <c r="I737" s="22"/>
      <c r="J737" s="529"/>
      <c r="K737" s="24"/>
      <c r="L737" s="22"/>
    </row>
    <row r="738" spans="1:12" ht="12.75">
      <c r="A738" s="22"/>
      <c r="B738" s="22"/>
      <c r="C738" s="22"/>
      <c r="D738" s="22"/>
      <c r="E738" s="22"/>
      <c r="F738" s="22"/>
      <c r="G738" s="1023"/>
      <c r="H738" s="22"/>
      <c r="I738" s="22"/>
      <c r="J738" s="529"/>
      <c r="K738" s="24"/>
      <c r="L738" s="22"/>
    </row>
    <row r="739" spans="1:12" ht="12.75">
      <c r="A739" s="22"/>
      <c r="B739" s="22"/>
      <c r="C739" s="22"/>
      <c r="D739" s="22"/>
      <c r="E739" s="22"/>
      <c r="F739" s="22"/>
      <c r="G739" s="1023"/>
      <c r="H739" s="22"/>
      <c r="I739" s="22"/>
      <c r="J739" s="529"/>
      <c r="K739" s="24"/>
      <c r="L739" s="22"/>
    </row>
    <row r="740" spans="1:12" ht="12.75">
      <c r="A740" s="22"/>
      <c r="B740" s="22"/>
      <c r="C740" s="22"/>
      <c r="D740" s="22"/>
      <c r="E740" s="22"/>
      <c r="F740" s="22"/>
      <c r="G740" s="1023"/>
      <c r="H740" s="22"/>
      <c r="I740" s="22"/>
      <c r="J740" s="529"/>
      <c r="K740" s="24"/>
      <c r="L740" s="22"/>
    </row>
    <row r="741" spans="1:12" ht="12.75">
      <c r="A741" s="22"/>
      <c r="B741" s="22"/>
      <c r="C741" s="22"/>
      <c r="D741" s="22"/>
      <c r="E741" s="22"/>
      <c r="F741" s="22"/>
      <c r="G741" s="1023"/>
      <c r="H741" s="22"/>
      <c r="I741" s="22"/>
      <c r="J741" s="529"/>
      <c r="K741" s="24"/>
      <c r="L741" s="22"/>
    </row>
    <row r="742" spans="1:12" ht="12.75">
      <c r="A742" s="22"/>
      <c r="B742" s="22"/>
      <c r="C742" s="22"/>
      <c r="D742" s="22"/>
      <c r="E742" s="22"/>
      <c r="F742" s="22"/>
      <c r="G742" s="1023"/>
      <c r="H742" s="22"/>
      <c r="I742" s="22"/>
      <c r="J742" s="529"/>
      <c r="K742" s="24"/>
      <c r="L742" s="22"/>
    </row>
    <row r="743" spans="1:12" ht="12.75">
      <c r="A743" s="22"/>
      <c r="B743" s="22"/>
      <c r="C743" s="22"/>
      <c r="D743" s="22"/>
      <c r="E743" s="22"/>
      <c r="F743" s="22"/>
      <c r="G743" s="1023"/>
      <c r="H743" s="22"/>
      <c r="I743" s="22"/>
      <c r="J743" s="529"/>
      <c r="K743" s="24"/>
      <c r="L743" s="22"/>
    </row>
    <row r="744" spans="1:12" ht="12.75">
      <c r="A744" s="22"/>
      <c r="B744" s="22"/>
      <c r="C744" s="22"/>
      <c r="D744" s="22"/>
      <c r="E744" s="22"/>
      <c r="F744" s="22"/>
      <c r="G744" s="1023"/>
      <c r="H744" s="22"/>
      <c r="I744" s="22"/>
      <c r="J744" s="529"/>
      <c r="K744" s="24"/>
      <c r="L744" s="22"/>
    </row>
    <row r="745" spans="1:12" ht="12.75">
      <c r="A745" s="22"/>
      <c r="B745" s="22"/>
      <c r="C745" s="22"/>
      <c r="D745" s="22"/>
      <c r="E745" s="22"/>
      <c r="F745" s="22"/>
      <c r="G745" s="1023"/>
      <c r="H745" s="22"/>
      <c r="I745" s="22"/>
      <c r="J745" s="529"/>
      <c r="K745" s="24"/>
      <c r="L745" s="22"/>
    </row>
    <row r="746" spans="1:12" ht="12.75">
      <c r="A746" s="22"/>
      <c r="B746" s="22"/>
      <c r="C746" s="22"/>
      <c r="D746" s="22"/>
      <c r="E746" s="22"/>
      <c r="F746" s="22"/>
      <c r="G746" s="1023"/>
      <c r="H746" s="22"/>
      <c r="I746" s="22"/>
      <c r="J746" s="529"/>
      <c r="K746" s="24"/>
      <c r="L746" s="22"/>
    </row>
    <row r="747" spans="1:12" ht="12.75">
      <c r="A747" s="22"/>
      <c r="B747" s="22"/>
      <c r="C747" s="22"/>
      <c r="D747" s="22"/>
      <c r="E747" s="22"/>
      <c r="F747" s="22"/>
      <c r="G747" s="1023"/>
      <c r="H747" s="22"/>
      <c r="I747" s="22"/>
      <c r="J747" s="529"/>
      <c r="K747" s="24"/>
      <c r="L747" s="22"/>
    </row>
    <row r="748" spans="1:12" ht="12.75">
      <c r="A748" s="22"/>
      <c r="B748" s="22"/>
      <c r="C748" s="22"/>
      <c r="D748" s="22"/>
      <c r="E748" s="22"/>
      <c r="F748" s="22"/>
      <c r="G748" s="1023"/>
      <c r="H748" s="22"/>
      <c r="I748" s="22"/>
      <c r="J748" s="529"/>
      <c r="K748" s="24"/>
      <c r="L748" s="22"/>
    </row>
    <row r="749" spans="1:12" ht="12.75">
      <c r="A749" s="22"/>
      <c r="B749" s="22"/>
      <c r="C749" s="22"/>
      <c r="D749" s="22"/>
      <c r="E749" s="22"/>
      <c r="F749" s="22"/>
      <c r="G749" s="1023"/>
      <c r="H749" s="22"/>
      <c r="I749" s="22"/>
      <c r="J749" s="529"/>
      <c r="K749" s="24"/>
      <c r="L749" s="22"/>
    </row>
    <row r="750" spans="1:12" ht="12.75">
      <c r="A750" s="22"/>
      <c r="B750" s="22"/>
      <c r="C750" s="22"/>
      <c r="D750" s="22"/>
      <c r="E750" s="22"/>
      <c r="F750" s="22"/>
      <c r="G750" s="1023"/>
      <c r="H750" s="22"/>
      <c r="I750" s="22"/>
      <c r="J750" s="529"/>
      <c r="K750" s="24"/>
      <c r="L750" s="22"/>
    </row>
    <row r="751" spans="1:12" ht="12.75">
      <c r="A751" s="22"/>
      <c r="B751" s="22"/>
      <c r="C751" s="22"/>
      <c r="D751" s="22"/>
      <c r="E751" s="22"/>
      <c r="F751" s="22"/>
      <c r="G751" s="1023"/>
      <c r="H751" s="22"/>
      <c r="I751" s="22"/>
      <c r="J751" s="529"/>
      <c r="K751" s="24"/>
      <c r="L751" s="22"/>
    </row>
    <row r="752" spans="1:12" ht="12.75">
      <c r="A752" s="22"/>
      <c r="B752" s="22"/>
      <c r="C752" s="22"/>
      <c r="D752" s="22"/>
      <c r="E752" s="22"/>
      <c r="F752" s="22"/>
      <c r="G752" s="1023"/>
      <c r="H752" s="22"/>
      <c r="I752" s="22"/>
      <c r="J752" s="529"/>
      <c r="K752" s="24"/>
      <c r="L752" s="22"/>
    </row>
    <row r="753" spans="1:12" ht="12.75">
      <c r="A753" s="22"/>
      <c r="B753" s="22"/>
      <c r="C753" s="22"/>
      <c r="D753" s="22"/>
      <c r="E753" s="22"/>
      <c r="F753" s="22"/>
      <c r="G753" s="1023"/>
      <c r="H753" s="22"/>
      <c r="I753" s="22"/>
      <c r="J753" s="529"/>
      <c r="K753" s="24"/>
      <c r="L753" s="22"/>
    </row>
    <row r="754" spans="1:12" ht="12.75">
      <c r="A754" s="22"/>
      <c r="B754" s="22"/>
      <c r="C754" s="22"/>
      <c r="D754" s="22"/>
      <c r="E754" s="22"/>
      <c r="F754" s="22"/>
      <c r="G754" s="1023"/>
      <c r="H754" s="22"/>
      <c r="I754" s="22"/>
      <c r="J754" s="529"/>
      <c r="K754" s="24"/>
      <c r="L754" s="22"/>
    </row>
    <row r="755" spans="1:12" ht="12.75">
      <c r="A755" s="22"/>
      <c r="B755" s="22"/>
      <c r="C755" s="22"/>
      <c r="D755" s="22"/>
      <c r="E755" s="22"/>
      <c r="F755" s="22"/>
      <c r="G755" s="1023"/>
      <c r="H755" s="22"/>
      <c r="I755" s="22"/>
      <c r="J755" s="529"/>
      <c r="K755" s="24"/>
      <c r="L755" s="22"/>
    </row>
    <row r="756" spans="1:12" ht="12.75">
      <c r="A756" s="22"/>
      <c r="B756" s="22"/>
      <c r="C756" s="22"/>
      <c r="D756" s="22"/>
      <c r="E756" s="22"/>
      <c r="F756" s="22"/>
      <c r="G756" s="1023"/>
      <c r="H756" s="22"/>
      <c r="I756" s="22"/>
      <c r="J756" s="529"/>
      <c r="K756" s="24"/>
      <c r="L756" s="22"/>
    </row>
    <row r="757" spans="1:12" ht="12.75">
      <c r="A757" s="22"/>
      <c r="B757" s="22"/>
      <c r="C757" s="22"/>
      <c r="D757" s="22"/>
      <c r="E757" s="22"/>
      <c r="F757" s="22"/>
      <c r="G757" s="1023"/>
      <c r="H757" s="22"/>
      <c r="I757" s="22"/>
      <c r="J757" s="529"/>
      <c r="K757" s="24"/>
      <c r="L757" s="22"/>
    </row>
    <row r="758" spans="1:12" ht="12.75">
      <c r="A758" s="22"/>
      <c r="B758" s="22"/>
      <c r="C758" s="22"/>
      <c r="D758" s="22"/>
      <c r="E758" s="22"/>
      <c r="F758" s="22"/>
      <c r="G758" s="1023"/>
      <c r="H758" s="22"/>
      <c r="I758" s="22"/>
      <c r="J758" s="529"/>
      <c r="K758" s="24"/>
      <c r="L758" s="22"/>
    </row>
    <row r="759" spans="1:12" ht="12.75">
      <c r="A759" s="22"/>
      <c r="B759" s="22"/>
      <c r="C759" s="22"/>
      <c r="D759" s="22"/>
      <c r="E759" s="22"/>
      <c r="F759" s="22"/>
      <c r="G759" s="1023"/>
      <c r="H759" s="22"/>
      <c r="I759" s="22"/>
      <c r="J759" s="529"/>
      <c r="K759" s="24"/>
      <c r="L759" s="22"/>
    </row>
    <row r="760" spans="1:12" ht="12.75">
      <c r="A760" s="22"/>
      <c r="B760" s="22"/>
      <c r="C760" s="22"/>
      <c r="D760" s="22"/>
      <c r="E760" s="22"/>
      <c r="F760" s="22"/>
      <c r="G760" s="1023"/>
      <c r="H760" s="22"/>
      <c r="I760" s="22"/>
      <c r="J760" s="529"/>
      <c r="K760" s="24"/>
      <c r="L760" s="22"/>
    </row>
    <row r="761" spans="1:12" ht="12.75">
      <c r="A761" s="22"/>
      <c r="B761" s="22"/>
      <c r="C761" s="22"/>
      <c r="D761" s="22"/>
      <c r="E761" s="22"/>
      <c r="F761" s="22"/>
      <c r="G761" s="1023"/>
      <c r="H761" s="22"/>
      <c r="I761" s="22"/>
      <c r="J761" s="529"/>
      <c r="K761" s="24"/>
      <c r="L761" s="22"/>
    </row>
    <row r="762" spans="1:12" ht="12.75">
      <c r="A762" s="22"/>
      <c r="B762" s="22"/>
      <c r="C762" s="22"/>
      <c r="D762" s="22"/>
      <c r="E762" s="22"/>
      <c r="F762" s="22"/>
      <c r="G762" s="1023"/>
      <c r="H762" s="22"/>
      <c r="I762" s="22"/>
      <c r="J762" s="529"/>
      <c r="K762" s="24"/>
      <c r="L762" s="22"/>
    </row>
    <row r="763" spans="1:12" ht="12.75">
      <c r="A763" s="22"/>
      <c r="B763" s="22"/>
      <c r="C763" s="22"/>
      <c r="D763" s="22"/>
      <c r="E763" s="22"/>
      <c r="F763" s="22"/>
      <c r="G763" s="1023"/>
      <c r="H763" s="22"/>
      <c r="I763" s="22"/>
      <c r="J763" s="529"/>
      <c r="K763" s="24"/>
      <c r="L763" s="22"/>
    </row>
    <row r="764" spans="1:12" ht="12.75">
      <c r="A764" s="22"/>
      <c r="B764" s="22"/>
      <c r="C764" s="22"/>
      <c r="D764" s="22"/>
      <c r="E764" s="22"/>
      <c r="F764" s="22"/>
      <c r="G764" s="1023"/>
      <c r="H764" s="22"/>
      <c r="I764" s="22"/>
      <c r="J764" s="529"/>
      <c r="K764" s="24"/>
      <c r="L764" s="22"/>
    </row>
    <row r="765" spans="1:12" ht="12.75">
      <c r="A765" s="22"/>
      <c r="B765" s="22"/>
      <c r="C765" s="22"/>
      <c r="D765" s="22"/>
      <c r="E765" s="22"/>
      <c r="F765" s="22"/>
      <c r="G765" s="1023"/>
      <c r="H765" s="22"/>
      <c r="I765" s="22"/>
      <c r="J765" s="529"/>
      <c r="K765" s="24"/>
      <c r="L765" s="22"/>
    </row>
    <row r="766" spans="1:12" ht="12.75">
      <c r="A766" s="22"/>
      <c r="B766" s="22"/>
      <c r="C766" s="22"/>
      <c r="D766" s="22"/>
      <c r="E766" s="22"/>
      <c r="F766" s="22"/>
      <c r="G766" s="1023"/>
      <c r="H766" s="22"/>
      <c r="I766" s="22"/>
      <c r="J766" s="529"/>
      <c r="K766" s="24"/>
      <c r="L766" s="22"/>
    </row>
    <row r="767" spans="1:12" ht="12.75">
      <c r="A767" s="22"/>
      <c r="B767" s="22"/>
      <c r="C767" s="22"/>
      <c r="D767" s="22"/>
      <c r="E767" s="22"/>
      <c r="F767" s="22"/>
      <c r="G767" s="1023"/>
      <c r="H767" s="22"/>
      <c r="I767" s="22"/>
      <c r="J767" s="529"/>
      <c r="K767" s="24"/>
      <c r="L767" s="22"/>
    </row>
    <row r="768" spans="1:12" ht="12.75">
      <c r="A768" s="22"/>
      <c r="B768" s="22"/>
      <c r="C768" s="22"/>
      <c r="D768" s="22"/>
      <c r="E768" s="22"/>
      <c r="F768" s="22"/>
      <c r="G768" s="1023"/>
      <c r="H768" s="22"/>
      <c r="I768" s="22"/>
      <c r="J768" s="529"/>
      <c r="K768" s="24"/>
      <c r="L768" s="22"/>
    </row>
    <row r="769" spans="7:11" s="22" customFormat="1" ht="12.75">
      <c r="G769" s="1023"/>
      <c r="J769" s="529"/>
      <c r="K769" s="24"/>
    </row>
    <row r="770" spans="7:11" s="22" customFormat="1" ht="12.75">
      <c r="G770" s="1023"/>
      <c r="J770" s="529"/>
      <c r="K770" s="24"/>
    </row>
    <row r="771" spans="7:11" s="22" customFormat="1" ht="12.75">
      <c r="G771" s="1023"/>
      <c r="J771" s="529"/>
      <c r="K771" s="24"/>
    </row>
    <row r="772" spans="7:11" s="22" customFormat="1" ht="12.75">
      <c r="G772" s="1023"/>
      <c r="J772" s="529"/>
      <c r="K772" s="24"/>
    </row>
    <row r="773" spans="7:11" s="22" customFormat="1" ht="12.75">
      <c r="G773" s="1023"/>
      <c r="J773" s="529"/>
      <c r="K773" s="24"/>
    </row>
    <row r="774" spans="7:11" s="22" customFormat="1" ht="12.75">
      <c r="G774" s="1023"/>
      <c r="J774" s="529"/>
      <c r="K774" s="24"/>
    </row>
    <row r="775" spans="7:11" s="22" customFormat="1" ht="12.75">
      <c r="G775" s="1023"/>
      <c r="J775" s="529"/>
      <c r="K775" s="24"/>
    </row>
    <row r="776" spans="7:11" s="22" customFormat="1" ht="12.75">
      <c r="G776" s="1023"/>
      <c r="J776" s="529"/>
      <c r="K776" s="24"/>
    </row>
    <row r="777" spans="7:11" s="22" customFormat="1" ht="12.75">
      <c r="G777" s="1023"/>
      <c r="J777" s="529"/>
      <c r="K777" s="24"/>
    </row>
    <row r="778" spans="7:11" s="22" customFormat="1" ht="12.75">
      <c r="G778" s="1023"/>
      <c r="J778" s="529"/>
      <c r="K778" s="24"/>
    </row>
    <row r="779" spans="7:11" s="22" customFormat="1" ht="12.75">
      <c r="G779" s="1023"/>
      <c r="J779" s="529"/>
      <c r="K779" s="24"/>
    </row>
    <row r="780" spans="7:11" s="22" customFormat="1" ht="12.75">
      <c r="G780" s="1023"/>
      <c r="J780" s="529"/>
      <c r="K780" s="24"/>
    </row>
    <row r="781" spans="7:11" s="22" customFormat="1" ht="12.75">
      <c r="G781" s="1023"/>
      <c r="J781" s="529"/>
      <c r="K781" s="24"/>
    </row>
    <row r="782" spans="7:11" s="22" customFormat="1" ht="12.75">
      <c r="G782" s="1023"/>
      <c r="J782" s="529"/>
      <c r="K782" s="24"/>
    </row>
    <row r="783" spans="7:11" s="22" customFormat="1" ht="12.75">
      <c r="G783" s="1023"/>
      <c r="J783" s="529"/>
      <c r="K783" s="24"/>
    </row>
    <row r="784" spans="7:11" s="22" customFormat="1" ht="12.75">
      <c r="G784" s="1023"/>
      <c r="J784" s="529"/>
      <c r="K784" s="24"/>
    </row>
    <row r="785" spans="7:11" s="22" customFormat="1" ht="12.75">
      <c r="G785" s="1023"/>
      <c r="J785" s="529"/>
      <c r="K785" s="24"/>
    </row>
    <row r="786" spans="7:11" s="22" customFormat="1" ht="12.75">
      <c r="G786" s="1023"/>
      <c r="J786" s="529"/>
      <c r="K786" s="24"/>
    </row>
    <row r="787" spans="7:11" s="22" customFormat="1" ht="12.75">
      <c r="G787" s="1023"/>
      <c r="J787" s="529"/>
      <c r="K787" s="24"/>
    </row>
    <row r="788" spans="7:11" s="22" customFormat="1" ht="12.75">
      <c r="G788" s="1023"/>
      <c r="J788" s="529"/>
      <c r="K788" s="24"/>
    </row>
    <row r="789" spans="7:11" s="22" customFormat="1" ht="12.75">
      <c r="G789" s="1023"/>
      <c r="J789" s="529"/>
      <c r="K789" s="24"/>
    </row>
    <row r="790" spans="7:11" s="22" customFormat="1" ht="12.75">
      <c r="G790" s="1023"/>
      <c r="J790" s="529"/>
      <c r="K790" s="24"/>
    </row>
    <row r="791" spans="7:11" s="22" customFormat="1" ht="12.75">
      <c r="G791" s="1023"/>
      <c r="J791" s="529"/>
      <c r="K791" s="24"/>
    </row>
    <row r="792" spans="7:11" s="22" customFormat="1" ht="12.75">
      <c r="G792" s="1023"/>
      <c r="J792" s="529"/>
      <c r="K792" s="24"/>
    </row>
    <row r="793" spans="7:11" s="22" customFormat="1" ht="12.75">
      <c r="G793" s="1023"/>
      <c r="J793" s="529"/>
      <c r="K793" s="24"/>
    </row>
    <row r="794" spans="7:11" s="22" customFormat="1" ht="12.75">
      <c r="G794" s="1023"/>
      <c r="J794" s="529"/>
      <c r="K794" s="24"/>
    </row>
    <row r="795" spans="7:11" s="22" customFormat="1" ht="12.75">
      <c r="G795" s="1023"/>
      <c r="J795" s="529"/>
      <c r="K795" s="24"/>
    </row>
    <row r="796" spans="7:11" s="22" customFormat="1" ht="12.75">
      <c r="G796" s="1023"/>
      <c r="J796" s="529"/>
      <c r="K796" s="24"/>
    </row>
    <row r="797" spans="7:11" s="22" customFormat="1" ht="12.75">
      <c r="G797" s="1023"/>
      <c r="J797" s="529"/>
      <c r="K797" s="24"/>
    </row>
    <row r="798" spans="7:11" s="22" customFormat="1" ht="12.75">
      <c r="G798" s="1023"/>
      <c r="J798" s="529"/>
      <c r="K798" s="24"/>
    </row>
    <row r="799" spans="7:11" s="22" customFormat="1" ht="12.75">
      <c r="G799" s="1023"/>
      <c r="J799" s="529"/>
      <c r="K799" s="24"/>
    </row>
    <row r="800" spans="7:11" s="22" customFormat="1" ht="12.75">
      <c r="G800" s="1023"/>
      <c r="J800" s="529"/>
      <c r="K800" s="24"/>
    </row>
    <row r="801" spans="7:11" s="22" customFormat="1" ht="12.75">
      <c r="G801" s="1023"/>
      <c r="J801" s="529"/>
      <c r="K801" s="24"/>
    </row>
    <row r="802" spans="7:11" s="22" customFormat="1" ht="12.75">
      <c r="G802" s="1023"/>
      <c r="J802" s="529"/>
      <c r="K802" s="24"/>
    </row>
    <row r="803" spans="7:11" s="22" customFormat="1" ht="12.75">
      <c r="G803" s="1023"/>
      <c r="J803" s="529"/>
      <c r="K803" s="24"/>
    </row>
    <row r="804" spans="7:11" s="22" customFormat="1" ht="12.75">
      <c r="G804" s="1023"/>
      <c r="J804" s="529"/>
      <c r="K804" s="24"/>
    </row>
    <row r="805" spans="7:11" s="22" customFormat="1" ht="12.75">
      <c r="G805" s="1023"/>
      <c r="J805" s="529"/>
      <c r="K805" s="24"/>
    </row>
    <row r="806" spans="7:11" s="22" customFormat="1" ht="12.75">
      <c r="G806" s="1023"/>
      <c r="J806" s="529"/>
      <c r="K806" s="24"/>
    </row>
    <row r="807" spans="7:11" s="22" customFormat="1" ht="12.75">
      <c r="G807" s="1023"/>
      <c r="J807" s="529"/>
      <c r="K807" s="24"/>
    </row>
    <row r="808" spans="7:11" s="22" customFormat="1" ht="12.75">
      <c r="G808" s="1023"/>
      <c r="J808" s="529"/>
      <c r="K808" s="24"/>
    </row>
    <row r="809" spans="7:11" s="22" customFormat="1" ht="12.75">
      <c r="G809" s="1023"/>
      <c r="J809" s="529"/>
      <c r="K809" s="24"/>
    </row>
    <row r="810" spans="7:11" s="22" customFormat="1" ht="12.75">
      <c r="G810" s="1023"/>
      <c r="J810" s="529"/>
      <c r="K810" s="24"/>
    </row>
    <row r="811" spans="7:11" s="22" customFormat="1" ht="12.75">
      <c r="G811" s="1023"/>
      <c r="J811" s="529"/>
      <c r="K811" s="24"/>
    </row>
    <row r="812" spans="7:11" s="22" customFormat="1" ht="12.75">
      <c r="G812" s="1023"/>
      <c r="J812" s="529"/>
      <c r="K812" s="24"/>
    </row>
  </sheetData>
  <sheetProtection password="CC08"/>
  <mergeCells count="10">
    <mergeCell ref="A1:L1"/>
    <mergeCell ref="A2:L2"/>
    <mergeCell ref="A3:L3"/>
    <mergeCell ref="C231:F231"/>
    <mergeCell ref="C165:F165"/>
    <mergeCell ref="C158:F158"/>
    <mergeCell ref="C224:F224"/>
    <mergeCell ref="C62:F62"/>
    <mergeCell ref="C61:F61"/>
    <mergeCell ref="C63:F63"/>
  </mergeCells>
  <printOptions horizontalCentered="1"/>
  <pageMargins left="0.1968503937007874" right="0.1968503937007874" top="0.7874015748031497" bottom="0.5905511811023623" header="0.5118110236220472" footer="0.11811023622047245"/>
  <pageSetup horizontalDpi="300" verticalDpi="300" orientation="portrait" paperSize="9" r:id="rId1"/>
  <headerFooter alignWithMargins="0">
    <oddHeader>&amp;C&amp;"Times New Roman CE,Normál"&amp;P&amp;R&amp;"Times New Roman CE,Normál"4/a.számú melléklet
</oddHeader>
    <oddFooter>&amp;L&amp;"Times New Roman CE,Normál"&amp;8&amp;F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D30"/>
  <sheetViews>
    <sheetView workbookViewId="0" topLeftCell="A15">
      <selection activeCell="B30" sqref="B30"/>
    </sheetView>
  </sheetViews>
  <sheetFormatPr defaultColWidth="9.140625" defaultRowHeight="12.75"/>
  <cols>
    <col min="1" max="1" width="4.00390625" style="27" customWidth="1"/>
    <col min="2" max="2" width="43.8515625" style="27" customWidth="1"/>
    <col min="3" max="3" width="38.421875" style="27" customWidth="1"/>
    <col min="4" max="4" width="11.28125" style="27" customWidth="1"/>
    <col min="5" max="16384" width="9.140625" style="51" customWidth="1"/>
  </cols>
  <sheetData>
    <row r="4" spans="1:4" ht="15" customHeight="1">
      <c r="A4" s="1357" t="s">
        <v>426</v>
      </c>
      <c r="B4" s="1357"/>
      <c r="C4" s="1357"/>
      <c r="D4" s="1357"/>
    </row>
    <row r="5" spans="1:4" ht="15" customHeight="1">
      <c r="A5" s="1357" t="s">
        <v>716</v>
      </c>
      <c r="B5" s="1357"/>
      <c r="C5" s="1357"/>
      <c r="D5" s="1357"/>
    </row>
    <row r="6" spans="1:4" ht="15" customHeight="1">
      <c r="A6" s="1134"/>
      <c r="B6" s="1134"/>
      <c r="C6" s="1134"/>
      <c r="D6" s="1134"/>
    </row>
    <row r="7" spans="1:4" ht="15" customHeight="1">
      <c r="A7" s="1134"/>
      <c r="B7" s="1134"/>
      <c r="C7" s="1134"/>
      <c r="D7" s="1134"/>
    </row>
    <row r="8" spans="1:4" ht="15" customHeight="1">
      <c r="A8" s="1134"/>
      <c r="B8" s="1134"/>
      <c r="C8" s="1134"/>
      <c r="D8" s="1134"/>
    </row>
    <row r="9" ht="12.75">
      <c r="D9" s="153" t="s">
        <v>128</v>
      </c>
    </row>
    <row r="10" spans="1:4" ht="39.75" customHeight="1">
      <c r="A10" s="32" t="s">
        <v>169</v>
      </c>
      <c r="B10" s="653" t="s">
        <v>518</v>
      </c>
      <c r="C10" s="654" t="s">
        <v>212</v>
      </c>
      <c r="D10" s="522" t="s">
        <v>253</v>
      </c>
    </row>
    <row r="11" spans="1:4" ht="9.75" customHeight="1">
      <c r="A11" s="31" t="s">
        <v>524</v>
      </c>
      <c r="B11" s="179" t="s">
        <v>525</v>
      </c>
      <c r="C11" s="663" t="s">
        <v>526</v>
      </c>
      <c r="D11" s="31" t="s">
        <v>729</v>
      </c>
    </row>
    <row r="12" spans="1:4" s="187" customFormat="1" ht="25.5" customHeight="1">
      <c r="A12" s="55" t="s">
        <v>417</v>
      </c>
      <c r="B12" s="664" t="s">
        <v>192</v>
      </c>
      <c r="C12" s="665"/>
      <c r="D12" s="371"/>
    </row>
    <row r="13" spans="1:4" s="187" customFormat="1" ht="12.75" customHeight="1">
      <c r="A13" s="55"/>
      <c r="B13" s="666" t="s">
        <v>764</v>
      </c>
      <c r="C13" s="665"/>
      <c r="D13" s="371"/>
    </row>
    <row r="14" spans="1:4" ht="12.75">
      <c r="A14" s="42" t="s">
        <v>524</v>
      </c>
      <c r="B14" s="667" t="s">
        <v>363</v>
      </c>
      <c r="C14" s="668" t="s">
        <v>624</v>
      </c>
      <c r="D14" s="65">
        <v>103549</v>
      </c>
    </row>
    <row r="15" spans="1:4" ht="12.75">
      <c r="A15" s="42" t="s">
        <v>525</v>
      </c>
      <c r="B15" s="667" t="s">
        <v>363</v>
      </c>
      <c r="C15" s="668" t="s">
        <v>619</v>
      </c>
      <c r="D15" s="65">
        <v>13420</v>
      </c>
    </row>
    <row r="16" spans="1:4" s="1" customFormat="1" ht="12.75">
      <c r="A16" s="45"/>
      <c r="B16" s="669" t="s">
        <v>908</v>
      </c>
      <c r="C16" s="670"/>
      <c r="D16" s="66">
        <f>SUM(D14:D15)</f>
        <v>116969</v>
      </c>
    </row>
    <row r="17" spans="1:4" ht="12.75">
      <c r="A17" s="42"/>
      <c r="B17" s="671" t="s">
        <v>409</v>
      </c>
      <c r="C17" s="672"/>
      <c r="D17" s="65"/>
    </row>
    <row r="18" spans="1:4" ht="12.75">
      <c r="A18" s="673"/>
      <c r="B18" s="669" t="s">
        <v>523</v>
      </c>
      <c r="C18" s="672"/>
      <c r="D18" s="65"/>
    </row>
    <row r="19" spans="1:4" ht="12.75">
      <c r="A19" s="673" t="s">
        <v>526</v>
      </c>
      <c r="B19" s="675" t="s">
        <v>620</v>
      </c>
      <c r="C19" s="672" t="s">
        <v>371</v>
      </c>
      <c r="D19" s="65">
        <v>803064</v>
      </c>
    </row>
    <row r="20" spans="1:4" s="1" customFormat="1" ht="12.75">
      <c r="A20" s="677"/>
      <c r="B20" s="678" t="s">
        <v>621</v>
      </c>
      <c r="C20" s="671"/>
      <c r="D20" s="66">
        <f>SUM(D19:D19)</f>
        <v>803064</v>
      </c>
    </row>
    <row r="21" spans="1:4" s="1" customFormat="1" ht="12.75">
      <c r="A21" s="677"/>
      <c r="B21" s="671" t="s">
        <v>947</v>
      </c>
      <c r="C21" s="671"/>
      <c r="D21" s="66">
        <f>SUM(D20)</f>
        <v>803064</v>
      </c>
    </row>
    <row r="22" spans="1:4" s="378" customFormat="1" ht="36" customHeight="1">
      <c r="A22" s="674"/>
      <c r="B22" s="664" t="s">
        <v>193</v>
      </c>
      <c r="C22" s="672"/>
      <c r="D22" s="679">
        <f>SUM(D16,D21)</f>
        <v>920033</v>
      </c>
    </row>
    <row r="23" spans="1:4" ht="12.75">
      <c r="A23" s="673"/>
      <c r="B23" s="680"/>
      <c r="C23" s="672"/>
      <c r="D23" s="65"/>
    </row>
    <row r="24" spans="1:4" s="187" customFormat="1" ht="26.25" customHeight="1">
      <c r="A24" s="55" t="s">
        <v>327</v>
      </c>
      <c r="B24" s="681" t="s">
        <v>625</v>
      </c>
      <c r="C24" s="671"/>
      <c r="D24" s="371"/>
    </row>
    <row r="25" spans="1:4" ht="12.75" customHeight="1">
      <c r="A25" s="673"/>
      <c r="B25" s="682" t="s">
        <v>761</v>
      </c>
      <c r="C25" s="672"/>
      <c r="D25" s="65"/>
    </row>
    <row r="26" spans="1:4" ht="11.25" customHeight="1">
      <c r="A26" s="673" t="s">
        <v>524</v>
      </c>
      <c r="B26" s="683" t="s">
        <v>622</v>
      </c>
      <c r="C26" s="672" t="s">
        <v>368</v>
      </c>
      <c r="D26" s="65">
        <v>258</v>
      </c>
    </row>
    <row r="27" spans="1:4" s="1" customFormat="1" ht="11.25" customHeight="1">
      <c r="A27" s="677"/>
      <c r="B27" s="684" t="s">
        <v>623</v>
      </c>
      <c r="C27" s="671"/>
      <c r="D27" s="66">
        <f>SUM(D26:D26)</f>
        <v>258</v>
      </c>
    </row>
    <row r="28" spans="1:4" s="1" customFormat="1" ht="11.25" customHeight="1">
      <c r="A28" s="677"/>
      <c r="B28" s="671" t="s">
        <v>947</v>
      </c>
      <c r="C28" s="671"/>
      <c r="D28" s="66">
        <f>SUM(D27)</f>
        <v>258</v>
      </c>
    </row>
    <row r="29" spans="1:4" s="187" customFormat="1" ht="24" customHeight="1">
      <c r="A29" s="55"/>
      <c r="B29" s="685" t="s">
        <v>626</v>
      </c>
      <c r="C29" s="671"/>
      <c r="D29" s="371">
        <f>SUM(D28)</f>
        <v>258</v>
      </c>
    </row>
    <row r="30" spans="1:4" s="187" customFormat="1" ht="24" customHeight="1">
      <c r="A30" s="55"/>
      <c r="B30" s="664" t="s">
        <v>715</v>
      </c>
      <c r="C30" s="671"/>
      <c r="D30" s="371">
        <f>SUM(D22,D29)</f>
        <v>920291</v>
      </c>
    </row>
  </sheetData>
  <mergeCells count="2">
    <mergeCell ref="A4:D4"/>
    <mergeCell ref="A5:D5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CE,Normál"1/a.számú melléklet</oddHeader>
    <oddFooter>&amp;L&amp;"Times New Roman CE,Normál"&amp;8&amp;F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transitionEntry="1"/>
  <dimension ref="A1:J46"/>
  <sheetViews>
    <sheetView zoomScale="90" zoomScaleNormal="90" workbookViewId="0" topLeftCell="A18">
      <selection activeCell="B27" sqref="B27"/>
    </sheetView>
  </sheetViews>
  <sheetFormatPr defaultColWidth="9.140625" defaultRowHeight="12.75"/>
  <cols>
    <col min="1" max="1" width="6.140625" style="1081" customWidth="1"/>
    <col min="2" max="2" width="35.28125" style="1081" customWidth="1"/>
    <col min="3" max="5" width="10.7109375" style="1085" customWidth="1"/>
    <col min="6" max="8" width="10.7109375" style="1055" customWidth="1"/>
    <col min="9" max="9" width="11.7109375" style="1055" customWidth="1"/>
    <col min="10" max="10" width="16.28125" style="1086" customWidth="1"/>
    <col min="11" max="16384" width="8.8515625" style="3" customWidth="1"/>
  </cols>
  <sheetData>
    <row r="1" spans="1:10" s="1051" customFormat="1" ht="19.5" customHeight="1">
      <c r="A1" s="26" t="s">
        <v>426</v>
      </c>
      <c r="B1" s="1049"/>
      <c r="C1" s="1049"/>
      <c r="D1" s="1049"/>
      <c r="E1" s="1049"/>
      <c r="F1" s="1049"/>
      <c r="G1" s="1049"/>
      <c r="H1" s="1049"/>
      <c r="I1" s="1049"/>
      <c r="J1" s="1050"/>
    </row>
    <row r="2" spans="1:10" ht="15.75" customHeight="1">
      <c r="A2" s="1087" t="s">
        <v>353</v>
      </c>
      <c r="B2" s="67"/>
      <c r="C2" s="154"/>
      <c r="D2" s="154"/>
      <c r="E2" s="154"/>
      <c r="F2" s="1052"/>
      <c r="G2" s="1052"/>
      <c r="H2" s="1052"/>
      <c r="I2" s="1052"/>
      <c r="J2" s="1053"/>
    </row>
    <row r="3" spans="1:10" ht="15" customHeight="1">
      <c r="A3" s="1088" t="s">
        <v>84</v>
      </c>
      <c r="B3" s="67"/>
      <c r="C3" s="154"/>
      <c r="D3" s="154"/>
      <c r="E3" s="154"/>
      <c r="F3" s="1052"/>
      <c r="G3" s="1052"/>
      <c r="H3" s="1052"/>
      <c r="I3" s="1052"/>
      <c r="J3" s="1053"/>
    </row>
    <row r="4" spans="1:10" ht="11.25" customHeight="1">
      <c r="A4" s="1054"/>
      <c r="B4" s="1054"/>
      <c r="C4" s="155"/>
      <c r="D4" s="155"/>
      <c r="E4" s="155"/>
      <c r="J4" s="1056" t="s">
        <v>128</v>
      </c>
    </row>
    <row r="5" spans="1:10" s="5" customFormat="1" ht="39.75" customHeight="1">
      <c r="A5" s="1057" t="s">
        <v>552</v>
      </c>
      <c r="B5" s="1058" t="s">
        <v>129</v>
      </c>
      <c r="C5" s="1059" t="s">
        <v>863</v>
      </c>
      <c r="D5" s="1059" t="s">
        <v>864</v>
      </c>
      <c r="E5" s="1059" t="s">
        <v>865</v>
      </c>
      <c r="F5" s="1060" t="s">
        <v>866</v>
      </c>
      <c r="G5" s="1060" t="s">
        <v>867</v>
      </c>
      <c r="H5" s="1060" t="s">
        <v>868</v>
      </c>
      <c r="I5" s="1060" t="s">
        <v>869</v>
      </c>
      <c r="J5" s="1061" t="s">
        <v>870</v>
      </c>
    </row>
    <row r="6" spans="1:10" s="5" customFormat="1" ht="15" customHeight="1">
      <c r="A6" s="1062"/>
      <c r="B6" s="1063"/>
      <c r="C6" s="1372" t="s">
        <v>667</v>
      </c>
      <c r="D6" s="1373"/>
      <c r="E6" s="1373"/>
      <c r="F6" s="1373"/>
      <c r="G6" s="1373"/>
      <c r="H6" s="1373"/>
      <c r="I6" s="1374"/>
      <c r="J6" s="1064"/>
    </row>
    <row r="7" spans="1:10" s="5" customFormat="1" ht="9.75" customHeight="1">
      <c r="A7" s="156">
        <v>1</v>
      </c>
      <c r="B7" s="157">
        <v>2</v>
      </c>
      <c r="C7" s="158">
        <v>3</v>
      </c>
      <c r="D7" s="158">
        <v>4</v>
      </c>
      <c r="E7" s="158">
        <v>5</v>
      </c>
      <c r="F7" s="158">
        <v>6</v>
      </c>
      <c r="G7" s="158">
        <v>7</v>
      </c>
      <c r="H7" s="158">
        <v>8</v>
      </c>
      <c r="I7" s="158">
        <v>9</v>
      </c>
      <c r="J7" s="1065">
        <v>10</v>
      </c>
    </row>
    <row r="8" spans="1:10" s="5" customFormat="1" ht="12.75" customHeight="1">
      <c r="A8" s="156"/>
      <c r="B8" s="160" t="s">
        <v>459</v>
      </c>
      <c r="C8" s="158"/>
      <c r="D8" s="158"/>
      <c r="E8" s="158"/>
      <c r="F8" s="159"/>
      <c r="G8" s="159"/>
      <c r="H8" s="159"/>
      <c r="I8" s="159"/>
      <c r="J8" s="1065"/>
    </row>
    <row r="9" spans="1:10" s="7" customFormat="1" ht="12" customHeight="1">
      <c r="A9" s="161" t="s">
        <v>524</v>
      </c>
      <c r="B9" s="162" t="s">
        <v>460</v>
      </c>
      <c r="C9" s="59">
        <v>0</v>
      </c>
      <c r="D9" s="59">
        <v>472</v>
      </c>
      <c r="E9" s="59">
        <v>0</v>
      </c>
      <c r="F9" s="1066">
        <v>0</v>
      </c>
      <c r="G9" s="1066">
        <v>0</v>
      </c>
      <c r="H9" s="1066">
        <v>0</v>
      </c>
      <c r="I9" s="1066">
        <v>0</v>
      </c>
      <c r="J9" s="1067">
        <f aca="true" t="shared" si="0" ref="J9:J24">SUM(C9:I9)</f>
        <v>472</v>
      </c>
    </row>
    <row r="10" spans="1:10" s="7" customFormat="1" ht="12" customHeight="1">
      <c r="A10" s="163" t="s">
        <v>525</v>
      </c>
      <c r="B10" s="164" t="s">
        <v>461</v>
      </c>
      <c r="C10" s="59">
        <f aca="true" t="shared" si="1" ref="C10:I10">SUM(C11:C13)</f>
        <v>0</v>
      </c>
      <c r="D10" s="59">
        <f t="shared" si="1"/>
        <v>168</v>
      </c>
      <c r="E10" s="59">
        <f t="shared" si="1"/>
        <v>0</v>
      </c>
      <c r="F10" s="59">
        <f t="shared" si="1"/>
        <v>0</v>
      </c>
      <c r="G10" s="59">
        <f t="shared" si="1"/>
        <v>0</v>
      </c>
      <c r="H10" s="59">
        <f t="shared" si="1"/>
        <v>0</v>
      </c>
      <c r="I10" s="59">
        <f t="shared" si="1"/>
        <v>0</v>
      </c>
      <c r="J10" s="1067">
        <f t="shared" si="0"/>
        <v>168</v>
      </c>
    </row>
    <row r="11" spans="1:10" s="7" customFormat="1" ht="12" customHeight="1">
      <c r="A11" s="163"/>
      <c r="B11" s="165" t="s">
        <v>316</v>
      </c>
      <c r="C11" s="59">
        <v>0</v>
      </c>
      <c r="D11" s="59">
        <v>137</v>
      </c>
      <c r="E11" s="59">
        <v>0</v>
      </c>
      <c r="F11" s="59">
        <v>0</v>
      </c>
      <c r="G11" s="59">
        <v>0</v>
      </c>
      <c r="H11" s="1066">
        <v>0</v>
      </c>
      <c r="I11" s="1066">
        <v>0</v>
      </c>
      <c r="J11" s="1067">
        <f t="shared" si="0"/>
        <v>137</v>
      </c>
    </row>
    <row r="12" spans="1:10" s="7" customFormat="1" ht="12" customHeight="1">
      <c r="A12" s="163"/>
      <c r="B12" s="165" t="s">
        <v>198</v>
      </c>
      <c r="C12" s="59">
        <v>0</v>
      </c>
      <c r="D12" s="59">
        <v>14</v>
      </c>
      <c r="E12" s="59">
        <v>0</v>
      </c>
      <c r="F12" s="59">
        <v>0</v>
      </c>
      <c r="G12" s="59">
        <v>0</v>
      </c>
      <c r="H12" s="1066">
        <v>0</v>
      </c>
      <c r="I12" s="1066">
        <v>0</v>
      </c>
      <c r="J12" s="1067">
        <f t="shared" si="0"/>
        <v>14</v>
      </c>
    </row>
    <row r="13" spans="1:10" s="7" customFormat="1" ht="12" customHeight="1">
      <c r="A13" s="163"/>
      <c r="B13" s="165" t="s">
        <v>199</v>
      </c>
      <c r="C13" s="59">
        <v>0</v>
      </c>
      <c r="D13" s="59">
        <v>17</v>
      </c>
      <c r="E13" s="59">
        <v>0</v>
      </c>
      <c r="F13" s="59">
        <v>0</v>
      </c>
      <c r="G13" s="59">
        <v>0</v>
      </c>
      <c r="H13" s="1066">
        <v>0</v>
      </c>
      <c r="I13" s="1066">
        <v>0</v>
      </c>
      <c r="J13" s="1067">
        <f t="shared" si="0"/>
        <v>17</v>
      </c>
    </row>
    <row r="14" spans="1:10" s="7" customFormat="1" ht="12" customHeight="1">
      <c r="A14" s="163" t="s">
        <v>526</v>
      </c>
      <c r="B14" s="164" t="s">
        <v>462</v>
      </c>
      <c r="C14" s="59">
        <v>640</v>
      </c>
      <c r="D14" s="59">
        <v>0</v>
      </c>
      <c r="E14" s="59">
        <v>640</v>
      </c>
      <c r="F14" s="1066">
        <v>640</v>
      </c>
      <c r="G14" s="1066">
        <v>640</v>
      </c>
      <c r="H14" s="1066">
        <v>640</v>
      </c>
      <c r="I14" s="1066">
        <v>640</v>
      </c>
      <c r="J14" s="1067">
        <f t="shared" si="0"/>
        <v>3840</v>
      </c>
    </row>
    <row r="15" spans="1:10" s="7" customFormat="1" ht="24.75" customHeight="1">
      <c r="A15" s="161" t="s">
        <v>729</v>
      </c>
      <c r="B15" s="166" t="s">
        <v>419</v>
      </c>
      <c r="C15" s="59">
        <f aca="true" t="shared" si="2" ref="C15:I15">SUM(C16:C17)</f>
        <v>0</v>
      </c>
      <c r="D15" s="59">
        <f t="shared" si="2"/>
        <v>0</v>
      </c>
      <c r="E15" s="59">
        <f t="shared" si="2"/>
        <v>0</v>
      </c>
      <c r="F15" s="59">
        <f t="shared" si="2"/>
        <v>0</v>
      </c>
      <c r="G15" s="59">
        <f t="shared" si="2"/>
        <v>0</v>
      </c>
      <c r="H15" s="59">
        <f t="shared" si="2"/>
        <v>0</v>
      </c>
      <c r="I15" s="59">
        <f t="shared" si="2"/>
        <v>0</v>
      </c>
      <c r="J15" s="1067">
        <f t="shared" si="0"/>
        <v>0</v>
      </c>
    </row>
    <row r="16" spans="1:10" s="7" customFormat="1" ht="12" customHeight="1">
      <c r="A16" s="161"/>
      <c r="B16" s="338" t="s">
        <v>401</v>
      </c>
      <c r="C16" s="59">
        <v>0</v>
      </c>
      <c r="D16" s="59">
        <v>0</v>
      </c>
      <c r="E16" s="59">
        <v>0</v>
      </c>
      <c r="F16" s="1066">
        <v>0</v>
      </c>
      <c r="G16" s="1066">
        <v>0</v>
      </c>
      <c r="H16" s="1066">
        <v>0</v>
      </c>
      <c r="I16" s="1066">
        <v>0</v>
      </c>
      <c r="J16" s="1067">
        <f t="shared" si="0"/>
        <v>0</v>
      </c>
    </row>
    <row r="17" spans="1:10" s="7" customFormat="1" ht="24" customHeight="1">
      <c r="A17" s="161"/>
      <c r="B17" s="1068" t="s">
        <v>420</v>
      </c>
      <c r="C17" s="59">
        <v>0</v>
      </c>
      <c r="D17" s="59">
        <v>0</v>
      </c>
      <c r="E17" s="59">
        <v>0</v>
      </c>
      <c r="F17" s="1066">
        <v>0</v>
      </c>
      <c r="G17" s="1066">
        <v>0</v>
      </c>
      <c r="H17" s="1066">
        <v>0</v>
      </c>
      <c r="I17" s="1066">
        <v>0</v>
      </c>
      <c r="J17" s="1067">
        <f t="shared" si="0"/>
        <v>0</v>
      </c>
    </row>
    <row r="18" spans="1:10" s="7" customFormat="1" ht="12" customHeight="1">
      <c r="A18" s="167" t="s">
        <v>730</v>
      </c>
      <c r="B18" s="162" t="s">
        <v>185</v>
      </c>
      <c r="C18" s="59">
        <v>0</v>
      </c>
      <c r="D18" s="59">
        <v>0</v>
      </c>
      <c r="E18" s="59">
        <v>0</v>
      </c>
      <c r="F18" s="1066">
        <v>0</v>
      </c>
      <c r="G18" s="1066">
        <v>0</v>
      </c>
      <c r="H18" s="1066">
        <v>0</v>
      </c>
      <c r="I18" s="1066">
        <v>0</v>
      </c>
      <c r="J18" s="1067">
        <f t="shared" si="0"/>
        <v>0</v>
      </c>
    </row>
    <row r="19" spans="1:10" s="7" customFormat="1" ht="12" customHeight="1">
      <c r="A19" s="167" t="s">
        <v>731</v>
      </c>
      <c r="B19" s="162" t="s">
        <v>83</v>
      </c>
      <c r="C19" s="59">
        <v>0</v>
      </c>
      <c r="D19" s="59">
        <v>0</v>
      </c>
      <c r="E19" s="59">
        <v>0</v>
      </c>
      <c r="F19" s="1066">
        <v>0</v>
      </c>
      <c r="G19" s="1066">
        <v>0</v>
      </c>
      <c r="H19" s="1066">
        <v>0</v>
      </c>
      <c r="I19" s="1066">
        <v>0</v>
      </c>
      <c r="J19" s="1067">
        <f t="shared" si="0"/>
        <v>0</v>
      </c>
    </row>
    <row r="20" spans="1:10" s="34" customFormat="1" ht="12" customHeight="1">
      <c r="A20" s="168"/>
      <c r="B20" s="169" t="s">
        <v>673</v>
      </c>
      <c r="C20" s="60">
        <f aca="true" t="shared" si="3" ref="C20:I20">SUM(C9,C10,C14,C15,C18)</f>
        <v>640</v>
      </c>
      <c r="D20" s="60">
        <f t="shared" si="3"/>
        <v>640</v>
      </c>
      <c r="E20" s="60">
        <f t="shared" si="3"/>
        <v>640</v>
      </c>
      <c r="F20" s="60">
        <f t="shared" si="3"/>
        <v>640</v>
      </c>
      <c r="G20" s="60">
        <f t="shared" si="3"/>
        <v>640</v>
      </c>
      <c r="H20" s="60">
        <f t="shared" si="3"/>
        <v>640</v>
      </c>
      <c r="I20" s="60">
        <f t="shared" si="3"/>
        <v>640</v>
      </c>
      <c r="J20" s="1069">
        <f t="shared" si="0"/>
        <v>4480</v>
      </c>
    </row>
    <row r="21" spans="1:10" s="7" customFormat="1" ht="12" customHeight="1">
      <c r="A21" s="167" t="s">
        <v>732</v>
      </c>
      <c r="B21" s="166" t="s">
        <v>186</v>
      </c>
      <c r="C21" s="59">
        <v>0</v>
      </c>
      <c r="D21" s="59">
        <v>0</v>
      </c>
      <c r="E21" s="59">
        <v>0</v>
      </c>
      <c r="F21" s="1066">
        <v>0</v>
      </c>
      <c r="G21" s="1066">
        <v>0</v>
      </c>
      <c r="H21" s="1066">
        <v>0</v>
      </c>
      <c r="I21" s="1066">
        <v>0</v>
      </c>
      <c r="J21" s="1067">
        <f t="shared" si="0"/>
        <v>0</v>
      </c>
    </row>
    <row r="22" spans="1:10" s="7" customFormat="1" ht="12" customHeight="1">
      <c r="A22" s="161" t="s">
        <v>733</v>
      </c>
      <c r="B22" s="162" t="s">
        <v>203</v>
      </c>
      <c r="C22" s="59">
        <v>0</v>
      </c>
      <c r="D22" s="59">
        <v>0</v>
      </c>
      <c r="E22" s="59">
        <v>0</v>
      </c>
      <c r="F22" s="1066">
        <v>0</v>
      </c>
      <c r="G22" s="1066">
        <v>0</v>
      </c>
      <c r="H22" s="1066">
        <v>0</v>
      </c>
      <c r="I22" s="1066">
        <v>0</v>
      </c>
      <c r="J22" s="1067">
        <f t="shared" si="0"/>
        <v>0</v>
      </c>
    </row>
    <row r="23" spans="1:10" s="1070" customFormat="1" ht="12.75">
      <c r="A23" s="161" t="s">
        <v>734</v>
      </c>
      <c r="B23" s="162" t="s">
        <v>205</v>
      </c>
      <c r="C23" s="59">
        <v>0</v>
      </c>
      <c r="D23" s="59">
        <v>0</v>
      </c>
      <c r="E23" s="59">
        <v>0</v>
      </c>
      <c r="F23" s="1066">
        <v>0</v>
      </c>
      <c r="G23" s="1066">
        <v>0</v>
      </c>
      <c r="H23" s="1066">
        <v>0</v>
      </c>
      <c r="I23" s="1066">
        <v>0</v>
      </c>
      <c r="J23" s="1067">
        <f t="shared" si="0"/>
        <v>0</v>
      </c>
    </row>
    <row r="24" spans="1:10" s="7" customFormat="1" ht="24.75" customHeight="1">
      <c r="A24" s="161" t="s">
        <v>735</v>
      </c>
      <c r="B24" s="166" t="s">
        <v>196</v>
      </c>
      <c r="C24" s="59">
        <f aca="true" t="shared" si="4" ref="C24:I24">SUM(C25:C26)</f>
        <v>0</v>
      </c>
      <c r="D24" s="59">
        <f t="shared" si="4"/>
        <v>0</v>
      </c>
      <c r="E24" s="59">
        <f t="shared" si="4"/>
        <v>0</v>
      </c>
      <c r="F24" s="59">
        <f t="shared" si="4"/>
        <v>0</v>
      </c>
      <c r="G24" s="59">
        <f t="shared" si="4"/>
        <v>0</v>
      </c>
      <c r="H24" s="59">
        <f t="shared" si="4"/>
        <v>0</v>
      </c>
      <c r="I24" s="59">
        <f t="shared" si="4"/>
        <v>0</v>
      </c>
      <c r="J24" s="1067">
        <f t="shared" si="0"/>
        <v>0</v>
      </c>
    </row>
    <row r="25" spans="1:10" s="7" customFormat="1" ht="12" customHeight="1">
      <c r="A25" s="161"/>
      <c r="B25" s="338" t="s">
        <v>403</v>
      </c>
      <c r="C25" s="59">
        <v>0</v>
      </c>
      <c r="D25" s="59">
        <v>0</v>
      </c>
      <c r="E25" s="59">
        <v>0</v>
      </c>
      <c r="F25" s="1066">
        <v>0</v>
      </c>
      <c r="G25" s="1066">
        <v>0</v>
      </c>
      <c r="H25" s="1066">
        <v>0</v>
      </c>
      <c r="I25" s="1066">
        <v>0</v>
      </c>
      <c r="J25" s="1067">
        <v>0</v>
      </c>
    </row>
    <row r="26" spans="1:10" s="7" customFormat="1" ht="24.75" customHeight="1">
      <c r="A26" s="161"/>
      <c r="B26" s="1068" t="s">
        <v>883</v>
      </c>
      <c r="C26" s="59">
        <v>0</v>
      </c>
      <c r="D26" s="59">
        <v>0</v>
      </c>
      <c r="E26" s="59">
        <v>0</v>
      </c>
      <c r="F26" s="1066">
        <v>0</v>
      </c>
      <c r="G26" s="1066">
        <v>0</v>
      </c>
      <c r="H26" s="1066">
        <v>0</v>
      </c>
      <c r="I26" s="1066">
        <v>0</v>
      </c>
      <c r="J26" s="1067">
        <v>0</v>
      </c>
    </row>
    <row r="27" spans="1:10" s="34" customFormat="1" ht="24.75" customHeight="1">
      <c r="A27" s="170"/>
      <c r="B27" s="169" t="s">
        <v>884</v>
      </c>
      <c r="C27" s="60">
        <f aca="true" t="shared" si="5" ref="C27:I27">SUM(C21:C26)</f>
        <v>0</v>
      </c>
      <c r="D27" s="60">
        <f t="shared" si="5"/>
        <v>0</v>
      </c>
      <c r="E27" s="60">
        <f t="shared" si="5"/>
        <v>0</v>
      </c>
      <c r="F27" s="60">
        <f t="shared" si="5"/>
        <v>0</v>
      </c>
      <c r="G27" s="60">
        <f t="shared" si="5"/>
        <v>0</v>
      </c>
      <c r="H27" s="60">
        <f t="shared" si="5"/>
        <v>0</v>
      </c>
      <c r="I27" s="60">
        <f t="shared" si="5"/>
        <v>0</v>
      </c>
      <c r="J27" s="1069">
        <f>SUM(C27:I27)</f>
        <v>0</v>
      </c>
    </row>
    <row r="28" spans="1:10" s="1072" customFormat="1" ht="15" customHeight="1">
      <c r="A28" s="171"/>
      <c r="B28" s="172" t="s">
        <v>597</v>
      </c>
      <c r="C28" s="128">
        <f aca="true" t="shared" si="6" ref="C28:I28">SUM(C20,C27)</f>
        <v>640</v>
      </c>
      <c r="D28" s="128">
        <f t="shared" si="6"/>
        <v>640</v>
      </c>
      <c r="E28" s="128">
        <f t="shared" si="6"/>
        <v>640</v>
      </c>
      <c r="F28" s="128">
        <f t="shared" si="6"/>
        <v>640</v>
      </c>
      <c r="G28" s="128">
        <f t="shared" si="6"/>
        <v>640</v>
      </c>
      <c r="H28" s="128">
        <f t="shared" si="6"/>
        <v>640</v>
      </c>
      <c r="I28" s="128">
        <f t="shared" si="6"/>
        <v>640</v>
      </c>
      <c r="J28" s="1071">
        <f>SUM(C28:I28)</f>
        <v>4480</v>
      </c>
    </row>
    <row r="29" spans="1:10" s="57" customFormat="1" ht="12.75" customHeight="1">
      <c r="A29" s="64"/>
      <c r="B29" s="803" t="s">
        <v>390</v>
      </c>
      <c r="C29" s="59"/>
      <c r="D29" s="59"/>
      <c r="E29" s="59"/>
      <c r="F29" s="30"/>
      <c r="G29" s="30"/>
      <c r="H29" s="30"/>
      <c r="I29" s="30"/>
      <c r="J29" s="1067"/>
    </row>
    <row r="30" spans="1:10" s="57" customFormat="1" ht="12" customHeight="1">
      <c r="A30" s="161" t="s">
        <v>736</v>
      </c>
      <c r="B30" s="36" t="s">
        <v>351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1067">
        <f>SUM(C30:I30)</f>
        <v>0</v>
      </c>
    </row>
    <row r="31" spans="1:10" s="57" customFormat="1" ht="12" customHeight="1">
      <c r="A31" s="161" t="s">
        <v>737</v>
      </c>
      <c r="B31" s="36" t="s">
        <v>352</v>
      </c>
      <c r="C31" s="59">
        <v>640</v>
      </c>
      <c r="D31" s="59">
        <v>640</v>
      </c>
      <c r="E31" s="59">
        <v>640</v>
      </c>
      <c r="F31" s="59">
        <v>640</v>
      </c>
      <c r="G31" s="59">
        <v>640</v>
      </c>
      <c r="H31" s="59">
        <v>640</v>
      </c>
      <c r="I31" s="59">
        <v>640</v>
      </c>
      <c r="J31" s="1067">
        <f>SUM(C31:I31)</f>
        <v>4480</v>
      </c>
    </row>
    <row r="32" spans="1:10" s="1072" customFormat="1" ht="15" customHeight="1">
      <c r="A32" s="63"/>
      <c r="B32" s="63" t="s">
        <v>598</v>
      </c>
      <c r="C32" s="128">
        <f aca="true" t="shared" si="7" ref="C32:I32">SUM(C30:C31)</f>
        <v>640</v>
      </c>
      <c r="D32" s="128">
        <f t="shared" si="7"/>
        <v>640</v>
      </c>
      <c r="E32" s="128">
        <f t="shared" si="7"/>
        <v>640</v>
      </c>
      <c r="F32" s="128">
        <f t="shared" si="7"/>
        <v>640</v>
      </c>
      <c r="G32" s="128">
        <f t="shared" si="7"/>
        <v>640</v>
      </c>
      <c r="H32" s="128">
        <f t="shared" si="7"/>
        <v>640</v>
      </c>
      <c r="I32" s="128">
        <f t="shared" si="7"/>
        <v>640</v>
      </c>
      <c r="J32" s="1071">
        <f>SUM(C32:I32)</f>
        <v>4480</v>
      </c>
    </row>
    <row r="33" spans="1:10" s="34" customFormat="1" ht="12" customHeight="1">
      <c r="A33" s="173"/>
      <c r="B33" s="173"/>
      <c r="C33" s="1073"/>
      <c r="D33" s="1073"/>
      <c r="E33" s="1073"/>
      <c r="F33" s="1074"/>
      <c r="G33" s="1074"/>
      <c r="H33" s="1074"/>
      <c r="I33" s="1074"/>
      <c r="J33" s="1075"/>
    </row>
    <row r="34" spans="1:10" s="34" customFormat="1" ht="12" customHeight="1">
      <c r="A34" s="1076"/>
      <c r="B34" s="1076"/>
      <c r="C34" s="1077"/>
      <c r="D34" s="1077"/>
      <c r="E34" s="1077"/>
      <c r="F34" s="1078"/>
      <c r="G34" s="1078"/>
      <c r="H34" s="1078"/>
      <c r="I34" s="1078"/>
      <c r="J34" s="1075"/>
    </row>
    <row r="35" spans="1:10" s="34" customFormat="1" ht="12" customHeight="1">
      <c r="A35" s="1076"/>
      <c r="B35" s="1076"/>
      <c r="C35" s="1077"/>
      <c r="D35" s="1077"/>
      <c r="E35" s="1077"/>
      <c r="F35" s="1078"/>
      <c r="G35" s="1078"/>
      <c r="H35" s="1078"/>
      <c r="I35" s="1078"/>
      <c r="J35" s="1075"/>
    </row>
    <row r="36" spans="1:10" s="34" customFormat="1" ht="12" customHeight="1">
      <c r="A36" s="1076"/>
      <c r="B36" s="1076"/>
      <c r="C36" s="1077"/>
      <c r="D36" s="1077"/>
      <c r="E36" s="1077"/>
      <c r="F36" s="1078"/>
      <c r="G36" s="1078"/>
      <c r="H36" s="1078"/>
      <c r="I36" s="1078"/>
      <c r="J36" s="1075"/>
    </row>
    <row r="37" spans="1:10" s="34" customFormat="1" ht="12" customHeight="1">
      <c r="A37" s="1076"/>
      <c r="B37" s="1076"/>
      <c r="C37" s="1077"/>
      <c r="D37" s="1077"/>
      <c r="E37" s="1077"/>
      <c r="F37" s="1078"/>
      <c r="G37" s="1078"/>
      <c r="H37" s="1078"/>
      <c r="I37" s="1078"/>
      <c r="J37" s="1075"/>
    </row>
    <row r="38" spans="1:10" s="34" customFormat="1" ht="12" customHeight="1">
      <c r="A38" s="1076"/>
      <c r="B38" s="1076"/>
      <c r="C38" s="1077"/>
      <c r="D38" s="1077"/>
      <c r="E38" s="1077"/>
      <c r="F38" s="1078"/>
      <c r="G38" s="1078"/>
      <c r="H38" s="1078"/>
      <c r="I38" s="1078"/>
      <c r="J38" s="1075"/>
    </row>
    <row r="39" spans="1:10" s="34" customFormat="1" ht="12" customHeight="1">
      <c r="A39" s="1076"/>
      <c r="B39" s="1076"/>
      <c r="C39" s="1077"/>
      <c r="D39" s="1077"/>
      <c r="E39" s="1077"/>
      <c r="F39" s="1078"/>
      <c r="G39" s="1078"/>
      <c r="H39" s="1078"/>
      <c r="I39" s="1078"/>
      <c r="J39" s="1075"/>
    </row>
    <row r="40" spans="1:10" s="34" customFormat="1" ht="12" customHeight="1">
      <c r="A40" s="1076"/>
      <c r="B40" s="1076"/>
      <c r="C40" s="1077"/>
      <c r="D40" s="1077"/>
      <c r="E40" s="1077"/>
      <c r="F40" s="1078"/>
      <c r="G40" s="1078"/>
      <c r="H40" s="1078"/>
      <c r="I40" s="1078"/>
      <c r="J40" s="1075"/>
    </row>
    <row r="41" spans="1:10" s="34" customFormat="1" ht="12" customHeight="1">
      <c r="A41" s="1076"/>
      <c r="B41" s="1076"/>
      <c r="C41" s="1077"/>
      <c r="D41" s="1077"/>
      <c r="E41" s="1077"/>
      <c r="F41" s="1078"/>
      <c r="G41" s="1078"/>
      <c r="H41" s="1078"/>
      <c r="I41" s="1078"/>
      <c r="J41" s="1075"/>
    </row>
    <row r="42" spans="1:10" s="34" customFormat="1" ht="12" customHeight="1">
      <c r="A42" s="1076"/>
      <c r="B42" s="1076"/>
      <c r="C42" s="1077"/>
      <c r="D42" s="1077"/>
      <c r="E42" s="1077"/>
      <c r="F42" s="1078"/>
      <c r="G42" s="1078"/>
      <c r="H42" s="1078"/>
      <c r="I42" s="1078"/>
      <c r="J42" s="1075"/>
    </row>
    <row r="43" spans="1:10" s="34" customFormat="1" ht="12" customHeight="1">
      <c r="A43" s="1076"/>
      <c r="B43" s="1076"/>
      <c r="C43" s="1077"/>
      <c r="D43" s="1077"/>
      <c r="E43" s="1077"/>
      <c r="F43" s="1078"/>
      <c r="G43" s="1078"/>
      <c r="H43" s="1078"/>
      <c r="I43" s="1078"/>
      <c r="J43" s="1075"/>
    </row>
    <row r="44" spans="1:10" s="34" customFormat="1" ht="12" customHeight="1">
      <c r="A44" s="1076"/>
      <c r="B44" s="1076"/>
      <c r="C44" s="1077"/>
      <c r="D44" s="1077"/>
      <c r="E44" s="1077"/>
      <c r="F44" s="1078"/>
      <c r="G44" s="1078"/>
      <c r="H44" s="1078"/>
      <c r="I44" s="1078"/>
      <c r="J44" s="1075"/>
    </row>
    <row r="45" spans="1:10" s="1072" customFormat="1" ht="12" customHeight="1">
      <c r="A45" s="173"/>
      <c r="B45" s="173"/>
      <c r="C45" s="1079"/>
      <c r="D45" s="1079"/>
      <c r="E45" s="1079"/>
      <c r="F45" s="1080"/>
      <c r="G45" s="1080"/>
      <c r="H45" s="1080"/>
      <c r="I45" s="1080"/>
      <c r="J45" s="509"/>
    </row>
    <row r="46" spans="3:10" ht="12.75">
      <c r="C46" s="1082"/>
      <c r="D46" s="1082"/>
      <c r="E46" s="1082"/>
      <c r="F46" s="1083"/>
      <c r="G46" s="1083"/>
      <c r="H46" s="1083"/>
      <c r="I46" s="1083"/>
      <c r="J46" s="1084"/>
    </row>
  </sheetData>
  <sheetProtection password="CC08"/>
  <mergeCells count="1">
    <mergeCell ref="C6:I6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&amp;R&amp;"Times New Roman CE,Normál"4/b.számú melléklet</oddHeader>
    <oddFooter>&amp;L&amp;"Times New Roman CE,Normál"&amp;8&amp;F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F77"/>
  <sheetViews>
    <sheetView zoomScaleSheetLayoutView="100" workbookViewId="0" topLeftCell="A1">
      <selection activeCell="A76" sqref="A76"/>
    </sheetView>
  </sheetViews>
  <sheetFormatPr defaultColWidth="9.140625" defaultRowHeight="12.75"/>
  <cols>
    <col min="1" max="1" width="4.00390625" style="398" customWidth="1"/>
    <col min="2" max="2" width="33.00390625" style="398" customWidth="1"/>
    <col min="3" max="3" width="33.57421875" style="398" customWidth="1"/>
    <col min="4" max="4" width="9.57421875" style="398" customWidth="1"/>
    <col min="5" max="5" width="8.57421875" style="398" customWidth="1"/>
    <col min="6" max="6" width="8.00390625" style="398" customWidth="1"/>
    <col min="7" max="16384" width="9.140625" style="398" customWidth="1"/>
  </cols>
  <sheetData>
    <row r="2" spans="1:6" ht="15.75">
      <c r="A2" s="1375" t="s">
        <v>426</v>
      </c>
      <c r="B2" s="1375"/>
      <c r="C2" s="1375"/>
      <c r="D2" s="1375"/>
      <c r="E2" s="1375"/>
      <c r="F2" s="1375"/>
    </row>
    <row r="3" spans="1:6" ht="15.75">
      <c r="A3" s="1375" t="s">
        <v>261</v>
      </c>
      <c r="B3" s="1375"/>
      <c r="C3" s="1375"/>
      <c r="D3" s="1375"/>
      <c r="E3" s="1375"/>
      <c r="F3" s="1375"/>
    </row>
    <row r="4" spans="1:6" ht="12.75">
      <c r="A4" s="501"/>
      <c r="B4" s="501"/>
      <c r="C4" s="501"/>
      <c r="D4" s="501"/>
      <c r="E4" s="501"/>
      <c r="F4" s="501"/>
    </row>
    <row r="5" ht="13.5" customHeight="1">
      <c r="F5" s="520" t="s">
        <v>128</v>
      </c>
    </row>
    <row r="6" spans="1:6" s="808" customFormat="1" ht="49.5" customHeight="1">
      <c r="A6" s="806" t="s">
        <v>477</v>
      </c>
      <c r="B6" s="807" t="s">
        <v>478</v>
      </c>
      <c r="C6" s="807" t="s">
        <v>479</v>
      </c>
      <c r="D6" s="806" t="s">
        <v>262</v>
      </c>
      <c r="E6" s="806" t="s">
        <v>727</v>
      </c>
      <c r="F6" s="806" t="s">
        <v>263</v>
      </c>
    </row>
    <row r="7" spans="1:6" ht="12">
      <c r="A7" s="399" t="s">
        <v>524</v>
      </c>
      <c r="B7" s="399" t="s">
        <v>525</v>
      </c>
      <c r="C7" s="399" t="s">
        <v>526</v>
      </c>
      <c r="D7" s="399" t="s">
        <v>729</v>
      </c>
      <c r="E7" s="399" t="s">
        <v>730</v>
      </c>
      <c r="F7" s="399" t="s">
        <v>731</v>
      </c>
    </row>
    <row r="8" spans="1:6" s="403" customFormat="1" ht="12">
      <c r="A8" s="400" t="s">
        <v>728</v>
      </c>
      <c r="B8" s="401" t="s">
        <v>463</v>
      </c>
      <c r="C8" s="400"/>
      <c r="D8" s="402"/>
      <c r="E8" s="402"/>
      <c r="F8" s="402"/>
    </row>
    <row r="9" spans="1:6" s="403" customFormat="1" ht="12">
      <c r="A9" s="404" t="s">
        <v>805</v>
      </c>
      <c r="B9" s="401" t="s">
        <v>186</v>
      </c>
      <c r="C9" s="400"/>
      <c r="D9" s="402"/>
      <c r="E9" s="402"/>
      <c r="F9" s="402"/>
    </row>
    <row r="10" spans="1:6" ht="12">
      <c r="A10" s="405" t="s">
        <v>524</v>
      </c>
      <c r="B10" s="406" t="s">
        <v>463</v>
      </c>
      <c r="C10" s="406" t="s">
        <v>491</v>
      </c>
      <c r="D10" s="407">
        <v>5000</v>
      </c>
      <c r="E10" s="407">
        <v>834</v>
      </c>
      <c r="F10" s="1245">
        <v>2007</v>
      </c>
    </row>
    <row r="11" spans="1:6" s="403" customFormat="1" ht="12">
      <c r="A11" s="404" t="s">
        <v>805</v>
      </c>
      <c r="B11" s="401" t="s">
        <v>49</v>
      </c>
      <c r="C11" s="401"/>
      <c r="D11" s="408">
        <f>SUM(D10:D10)</f>
        <v>5000</v>
      </c>
      <c r="E11" s="408">
        <f>SUM(E10:E10)</f>
        <v>834</v>
      </c>
      <c r="F11" s="408"/>
    </row>
    <row r="12" spans="1:6" s="403" customFormat="1" ht="12">
      <c r="A12" s="404" t="s">
        <v>728</v>
      </c>
      <c r="B12" s="401" t="s">
        <v>50</v>
      </c>
      <c r="C12" s="401"/>
      <c r="D12" s="408">
        <f>SUM(D11)</f>
        <v>5000</v>
      </c>
      <c r="E12" s="408">
        <f>SUM(E11)</f>
        <v>834</v>
      </c>
      <c r="F12" s="408"/>
    </row>
    <row r="13" spans="1:6" s="403" customFormat="1" ht="12">
      <c r="A13" s="404"/>
      <c r="B13" s="401"/>
      <c r="C13" s="401"/>
      <c r="D13" s="408"/>
      <c r="E13" s="408"/>
      <c r="F13" s="408"/>
    </row>
    <row r="14" spans="1:6" s="403" customFormat="1" ht="12">
      <c r="A14" s="404" t="s">
        <v>741</v>
      </c>
      <c r="B14" s="409" t="s">
        <v>523</v>
      </c>
      <c r="C14" s="409"/>
      <c r="D14" s="410"/>
      <c r="E14" s="410"/>
      <c r="F14" s="410"/>
    </row>
    <row r="15" spans="1:6" s="403" customFormat="1" ht="12">
      <c r="A15" s="404" t="s">
        <v>805</v>
      </c>
      <c r="B15" s="409" t="s">
        <v>186</v>
      </c>
      <c r="C15" s="409"/>
      <c r="D15" s="410"/>
      <c r="E15" s="410"/>
      <c r="F15" s="410"/>
    </row>
    <row r="16" spans="1:6" ht="12">
      <c r="A16" s="405" t="s">
        <v>524</v>
      </c>
      <c r="B16" s="411" t="s">
        <v>51</v>
      </c>
      <c r="C16" s="411" t="s">
        <v>52</v>
      </c>
      <c r="D16" s="412">
        <v>4000</v>
      </c>
      <c r="E16" s="412">
        <v>667</v>
      </c>
      <c r="F16" s="1246">
        <v>2007</v>
      </c>
    </row>
    <row r="17" spans="1:6" ht="24">
      <c r="A17" s="420" t="s">
        <v>525</v>
      </c>
      <c r="B17" s="428" t="s">
        <v>53</v>
      </c>
      <c r="C17" s="427" t="s">
        <v>54</v>
      </c>
      <c r="D17" s="422">
        <v>5000</v>
      </c>
      <c r="E17" s="422">
        <v>834</v>
      </c>
      <c r="F17" s="1247">
        <v>2007</v>
      </c>
    </row>
    <row r="18" spans="1:6" s="403" customFormat="1" ht="12">
      <c r="A18" s="404" t="s">
        <v>805</v>
      </c>
      <c r="B18" s="409" t="s">
        <v>742</v>
      </c>
      <c r="C18" s="409"/>
      <c r="D18" s="410">
        <f>SUM(D16:D17)</f>
        <v>9000</v>
      </c>
      <c r="E18" s="410">
        <f>SUM(E16:E17)</f>
        <v>1501</v>
      </c>
      <c r="F18" s="410"/>
    </row>
    <row r="19" spans="1:6" s="403" customFormat="1" ht="12">
      <c r="A19" s="404" t="s">
        <v>741</v>
      </c>
      <c r="B19" s="409" t="s">
        <v>55</v>
      </c>
      <c r="C19" s="409"/>
      <c r="D19" s="410">
        <f>SUM(D18)</f>
        <v>9000</v>
      </c>
      <c r="E19" s="410">
        <f>SUM(E18)</f>
        <v>1501</v>
      </c>
      <c r="F19" s="410"/>
    </row>
    <row r="20" spans="1:6" s="403" customFormat="1" ht="12">
      <c r="A20" s="404"/>
      <c r="B20" s="409"/>
      <c r="C20" s="409"/>
      <c r="D20" s="410"/>
      <c r="E20" s="410"/>
      <c r="F20" s="410"/>
    </row>
    <row r="21" spans="1:6" s="403" customFormat="1" ht="12">
      <c r="A21" s="404" t="s">
        <v>395</v>
      </c>
      <c r="B21" s="409" t="s">
        <v>764</v>
      </c>
      <c r="C21" s="409"/>
      <c r="D21" s="410"/>
      <c r="E21" s="410"/>
      <c r="F21" s="410"/>
    </row>
    <row r="22" spans="1:6" s="403" customFormat="1" ht="12">
      <c r="A22" s="404" t="s">
        <v>805</v>
      </c>
      <c r="B22" s="409" t="s">
        <v>186</v>
      </c>
      <c r="C22" s="409"/>
      <c r="D22" s="410"/>
      <c r="E22" s="410"/>
      <c r="F22" s="410"/>
    </row>
    <row r="23" spans="1:6" s="403" customFormat="1" ht="12">
      <c r="A23" s="419"/>
      <c r="B23" s="409" t="s">
        <v>378</v>
      </c>
      <c r="C23" s="409"/>
      <c r="D23" s="410"/>
      <c r="E23" s="410"/>
      <c r="F23" s="410"/>
    </row>
    <row r="24" spans="1:6" s="403" customFormat="1" ht="12">
      <c r="A24" s="405" t="s">
        <v>524</v>
      </c>
      <c r="B24" s="411" t="s">
        <v>913</v>
      </c>
      <c r="C24" s="411" t="s">
        <v>743</v>
      </c>
      <c r="D24" s="412">
        <v>15000</v>
      </c>
      <c r="E24" s="412">
        <v>2500</v>
      </c>
      <c r="F24" s="1246">
        <v>2007</v>
      </c>
    </row>
    <row r="25" spans="1:6" s="519" customFormat="1" ht="12">
      <c r="A25" s="420" t="s">
        <v>525</v>
      </c>
      <c r="B25" s="428" t="s">
        <v>492</v>
      </c>
      <c r="C25" s="429" t="s">
        <v>494</v>
      </c>
      <c r="D25" s="422">
        <v>30000</v>
      </c>
      <c r="E25" s="422">
        <v>5001</v>
      </c>
      <c r="F25" s="1247">
        <v>2007</v>
      </c>
    </row>
    <row r="26" spans="1:6" s="403" customFormat="1" ht="12">
      <c r="A26" s="420" t="s">
        <v>526</v>
      </c>
      <c r="B26" s="411" t="s">
        <v>379</v>
      </c>
      <c r="C26" s="411" t="s">
        <v>380</v>
      </c>
      <c r="D26" s="412">
        <v>4536</v>
      </c>
      <c r="E26" s="412">
        <v>756</v>
      </c>
      <c r="F26" s="1246">
        <v>2007</v>
      </c>
    </row>
    <row r="27" spans="1:6" s="403" customFormat="1" ht="12">
      <c r="A27" s="420" t="s">
        <v>729</v>
      </c>
      <c r="B27" s="411" t="s">
        <v>508</v>
      </c>
      <c r="C27" s="411" t="s">
        <v>56</v>
      </c>
      <c r="D27" s="412">
        <v>11000</v>
      </c>
      <c r="E27" s="412">
        <v>1833</v>
      </c>
      <c r="F27" s="1246">
        <v>2007</v>
      </c>
    </row>
    <row r="28" spans="1:6" s="403" customFormat="1" ht="12">
      <c r="A28" s="419"/>
      <c r="B28" s="409" t="s">
        <v>57</v>
      </c>
      <c r="C28" s="409"/>
      <c r="D28" s="410">
        <f>SUM(D24:D27)</f>
        <v>60536</v>
      </c>
      <c r="E28" s="410">
        <f>SUM(E24:E27)</f>
        <v>10090</v>
      </c>
      <c r="F28" s="410"/>
    </row>
    <row r="29" spans="1:6" s="403" customFormat="1" ht="12">
      <c r="A29" s="404" t="s">
        <v>805</v>
      </c>
      <c r="B29" s="409" t="s">
        <v>109</v>
      </c>
      <c r="C29" s="409"/>
      <c r="D29" s="410">
        <f>SUM(D28)</f>
        <v>60536</v>
      </c>
      <c r="E29" s="410">
        <f>SUM(E28)</f>
        <v>10090</v>
      </c>
      <c r="F29" s="410"/>
    </row>
    <row r="30" spans="1:6" s="403" customFormat="1" ht="12">
      <c r="A30" s="404"/>
      <c r="B30" s="409"/>
      <c r="C30" s="409"/>
      <c r="D30" s="410"/>
      <c r="E30" s="410"/>
      <c r="F30" s="410"/>
    </row>
    <row r="31" spans="1:6" s="403" customFormat="1" ht="12">
      <c r="A31" s="404" t="s">
        <v>327</v>
      </c>
      <c r="B31" s="409" t="s">
        <v>484</v>
      </c>
      <c r="C31" s="409"/>
      <c r="D31" s="410"/>
      <c r="E31" s="410"/>
      <c r="F31" s="410"/>
    </row>
    <row r="32" spans="1:6" s="403" customFormat="1" ht="12">
      <c r="A32" s="404" t="s">
        <v>395</v>
      </c>
      <c r="B32" s="409" t="s">
        <v>764</v>
      </c>
      <c r="C32" s="409"/>
      <c r="D32" s="410"/>
      <c r="E32" s="410"/>
      <c r="F32" s="410"/>
    </row>
    <row r="33" spans="1:6" ht="12">
      <c r="A33" s="405"/>
      <c r="B33" s="409" t="s">
        <v>457</v>
      </c>
      <c r="C33" s="411"/>
      <c r="D33" s="412"/>
      <c r="E33" s="412"/>
      <c r="F33" s="412"/>
    </row>
    <row r="34" spans="1:6" ht="12">
      <c r="A34" s="405" t="s">
        <v>524</v>
      </c>
      <c r="B34" s="411"/>
      <c r="C34" s="411" t="s">
        <v>381</v>
      </c>
      <c r="D34" s="412">
        <v>31320</v>
      </c>
      <c r="E34" s="412">
        <v>5221</v>
      </c>
      <c r="F34" s="1246">
        <v>2007</v>
      </c>
    </row>
    <row r="35" spans="1:6" ht="12">
      <c r="A35" s="405" t="s">
        <v>525</v>
      </c>
      <c r="B35" s="411"/>
      <c r="C35" s="411" t="s">
        <v>382</v>
      </c>
      <c r="D35" s="412">
        <v>29610</v>
      </c>
      <c r="E35" s="412">
        <v>4936</v>
      </c>
      <c r="F35" s="1246">
        <v>2007</v>
      </c>
    </row>
    <row r="36" spans="1:6" ht="12">
      <c r="A36" s="405" t="s">
        <v>526</v>
      </c>
      <c r="B36" s="411"/>
      <c r="C36" s="411" t="s">
        <v>383</v>
      </c>
      <c r="D36" s="412">
        <v>12500</v>
      </c>
      <c r="E36" s="412">
        <v>2084</v>
      </c>
      <c r="F36" s="1246">
        <v>2007</v>
      </c>
    </row>
    <row r="37" spans="1:6" ht="12">
      <c r="A37" s="405" t="s">
        <v>729</v>
      </c>
      <c r="B37" s="411"/>
      <c r="C37" s="411" t="s">
        <v>948</v>
      </c>
      <c r="D37" s="412">
        <v>16000</v>
      </c>
      <c r="E37" s="412">
        <v>2667</v>
      </c>
      <c r="F37" s="1246">
        <v>2007</v>
      </c>
    </row>
    <row r="38" spans="1:6" s="403" customFormat="1" ht="12">
      <c r="A38" s="404"/>
      <c r="B38" s="409" t="s">
        <v>627</v>
      </c>
      <c r="C38" s="409"/>
      <c r="D38" s="410">
        <f>SUM(D34:D37)</f>
        <v>89430</v>
      </c>
      <c r="E38" s="410">
        <f>SUM(E34:E37)</f>
        <v>14908</v>
      </c>
      <c r="F38" s="410"/>
    </row>
    <row r="39" spans="1:6" s="403" customFormat="1" ht="12">
      <c r="A39" s="404" t="s">
        <v>327</v>
      </c>
      <c r="B39" s="409" t="s">
        <v>384</v>
      </c>
      <c r="C39" s="409"/>
      <c r="D39" s="410">
        <f>SUM(D38)</f>
        <v>89430</v>
      </c>
      <c r="E39" s="410">
        <f>SUM(E38)</f>
        <v>14908</v>
      </c>
      <c r="F39" s="410"/>
    </row>
    <row r="40" spans="1:6" s="403" customFormat="1" ht="12">
      <c r="A40" s="404"/>
      <c r="B40" s="409"/>
      <c r="C40" s="409"/>
      <c r="D40" s="410"/>
      <c r="E40" s="410"/>
      <c r="F40" s="410"/>
    </row>
    <row r="41" spans="1:6" s="403" customFormat="1" ht="12">
      <c r="A41" s="404" t="s">
        <v>338</v>
      </c>
      <c r="B41" s="409" t="s">
        <v>340</v>
      </c>
      <c r="C41" s="409"/>
      <c r="D41" s="410"/>
      <c r="E41" s="410"/>
      <c r="F41" s="410"/>
    </row>
    <row r="42" spans="1:6" s="403" customFormat="1" ht="12">
      <c r="A42" s="404" t="s">
        <v>395</v>
      </c>
      <c r="B42" s="409" t="s">
        <v>764</v>
      </c>
      <c r="C42" s="409"/>
      <c r="D42" s="410"/>
      <c r="E42" s="410"/>
      <c r="F42" s="410"/>
    </row>
    <row r="43" spans="1:6" ht="12">
      <c r="A43" s="418"/>
      <c r="B43" s="409" t="s">
        <v>385</v>
      </c>
      <c r="C43" s="411"/>
      <c r="D43" s="412"/>
      <c r="E43" s="412"/>
      <c r="F43" s="412"/>
    </row>
    <row r="44" spans="1:6" ht="12">
      <c r="A44" s="405" t="s">
        <v>524</v>
      </c>
      <c r="B44" s="411" t="s">
        <v>58</v>
      </c>
      <c r="C44" s="411" t="s">
        <v>59</v>
      </c>
      <c r="D44" s="412">
        <v>9800</v>
      </c>
      <c r="E44" s="412">
        <v>1634</v>
      </c>
      <c r="F44" s="1246">
        <v>2007</v>
      </c>
    </row>
    <row r="45" spans="1:6" ht="12">
      <c r="A45" s="405" t="s">
        <v>525</v>
      </c>
      <c r="B45" s="411" t="s">
        <v>60</v>
      </c>
      <c r="C45" s="411"/>
      <c r="D45" s="412">
        <v>18000</v>
      </c>
      <c r="E45" s="412">
        <v>3000</v>
      </c>
      <c r="F45" s="1246">
        <v>2007</v>
      </c>
    </row>
    <row r="46" spans="1:6" s="403" customFormat="1" ht="12">
      <c r="A46" s="404"/>
      <c r="B46" s="409" t="s">
        <v>61</v>
      </c>
      <c r="C46" s="409"/>
      <c r="D46" s="410">
        <f>SUM(D44:D45)</f>
        <v>27800</v>
      </c>
      <c r="E46" s="410">
        <f>SUM(E44:E45)</f>
        <v>4634</v>
      </c>
      <c r="F46" s="1246">
        <v>2007</v>
      </c>
    </row>
    <row r="47" spans="1:6" ht="12">
      <c r="A47" s="405"/>
      <c r="B47" s="409" t="s">
        <v>108</v>
      </c>
      <c r="C47" s="411"/>
      <c r="D47" s="412"/>
      <c r="E47" s="412"/>
      <c r="F47" s="1246">
        <v>2007</v>
      </c>
    </row>
    <row r="48" spans="1:6" ht="24" customHeight="1">
      <c r="A48" s="420" t="s">
        <v>524</v>
      </c>
      <c r="B48" s="339"/>
      <c r="C48" s="339" t="s">
        <v>124</v>
      </c>
      <c r="D48" s="421">
        <v>1200</v>
      </c>
      <c r="E48" s="421">
        <v>200</v>
      </c>
      <c r="F48" s="1247">
        <v>2007</v>
      </c>
    </row>
    <row r="49" spans="1:6" ht="24">
      <c r="A49" s="420" t="s">
        <v>525</v>
      </c>
      <c r="B49" s="423"/>
      <c r="C49" s="423" t="s">
        <v>386</v>
      </c>
      <c r="D49" s="421">
        <v>8000</v>
      </c>
      <c r="E49" s="421">
        <v>1333</v>
      </c>
      <c r="F49" s="1247">
        <v>2007</v>
      </c>
    </row>
    <row r="50" spans="1:6" s="403" customFormat="1" ht="12">
      <c r="A50" s="413" t="s">
        <v>526</v>
      </c>
      <c r="B50" s="339"/>
      <c r="C50" s="339" t="s">
        <v>453</v>
      </c>
      <c r="D50" s="354">
        <v>5000</v>
      </c>
      <c r="E50" s="354">
        <v>834</v>
      </c>
      <c r="F50" s="1246">
        <v>2007</v>
      </c>
    </row>
    <row r="51" spans="1:6" s="403" customFormat="1" ht="24" customHeight="1">
      <c r="A51" s="424" t="s">
        <v>729</v>
      </c>
      <c r="B51" s="423"/>
      <c r="C51" s="423" t="s">
        <v>493</v>
      </c>
      <c r="D51" s="421">
        <v>3200</v>
      </c>
      <c r="E51" s="421">
        <v>533</v>
      </c>
      <c r="F51" s="1246">
        <v>2007</v>
      </c>
    </row>
    <row r="52" spans="1:6" s="403" customFormat="1" ht="25.5" customHeight="1">
      <c r="A52" s="424" t="s">
        <v>730</v>
      </c>
      <c r="B52" s="423"/>
      <c r="C52" s="423" t="s">
        <v>509</v>
      </c>
      <c r="D52" s="421">
        <v>5000</v>
      </c>
      <c r="E52" s="421">
        <v>833</v>
      </c>
      <c r="F52" s="1247">
        <v>2007</v>
      </c>
    </row>
    <row r="53" spans="1:6" s="403" customFormat="1" ht="12" customHeight="1">
      <c r="A53" s="424" t="s">
        <v>731</v>
      </c>
      <c r="B53" s="423"/>
      <c r="C53" s="423" t="s">
        <v>62</v>
      </c>
      <c r="D53" s="421">
        <v>3600</v>
      </c>
      <c r="E53" s="421">
        <v>600</v>
      </c>
      <c r="F53" s="1247">
        <v>2007</v>
      </c>
    </row>
    <row r="54" spans="1:6" s="403" customFormat="1" ht="24">
      <c r="A54" s="424" t="s">
        <v>732</v>
      </c>
      <c r="B54" s="423"/>
      <c r="C54" s="423" t="s">
        <v>906</v>
      </c>
      <c r="D54" s="421">
        <v>4000</v>
      </c>
      <c r="E54" s="421">
        <v>667</v>
      </c>
      <c r="F54" s="1247">
        <v>2007</v>
      </c>
    </row>
    <row r="55" spans="1:6" s="403" customFormat="1" ht="24">
      <c r="A55" s="424" t="s">
        <v>733</v>
      </c>
      <c r="B55" s="423"/>
      <c r="C55" s="423" t="s">
        <v>63</v>
      </c>
      <c r="D55" s="421">
        <v>3000</v>
      </c>
      <c r="E55" s="421">
        <v>500</v>
      </c>
      <c r="F55" s="1247">
        <v>2007</v>
      </c>
    </row>
    <row r="56" spans="1:6" s="403" customFormat="1" ht="36">
      <c r="A56" s="424" t="s">
        <v>734</v>
      </c>
      <c r="B56" s="423"/>
      <c r="C56" s="423" t="s">
        <v>510</v>
      </c>
      <c r="D56" s="421">
        <v>4500</v>
      </c>
      <c r="E56" s="421">
        <v>750</v>
      </c>
      <c r="F56" s="1247">
        <v>2007</v>
      </c>
    </row>
    <row r="57" spans="1:6" s="403" customFormat="1" ht="24">
      <c r="A57" s="424" t="s">
        <v>735</v>
      </c>
      <c r="B57" s="423"/>
      <c r="C57" s="423" t="s">
        <v>555</v>
      </c>
      <c r="D57" s="421">
        <v>20000</v>
      </c>
      <c r="E57" s="421">
        <v>3334</v>
      </c>
      <c r="F57" s="1247">
        <v>2007</v>
      </c>
    </row>
    <row r="58" spans="1:6" s="417" customFormat="1" ht="12">
      <c r="A58" s="414"/>
      <c r="B58" s="425" t="s">
        <v>64</v>
      </c>
      <c r="C58" s="415"/>
      <c r="D58" s="426">
        <f>SUM(D48:D57)</f>
        <v>57500</v>
      </c>
      <c r="E58" s="426">
        <f>SUM(E48:E57)</f>
        <v>9584</v>
      </c>
      <c r="F58" s="426"/>
    </row>
    <row r="59" spans="1:6" ht="12">
      <c r="A59" s="418"/>
      <c r="B59" s="409" t="s">
        <v>377</v>
      </c>
      <c r="C59" s="411"/>
      <c r="D59" s="412"/>
      <c r="E59" s="412"/>
      <c r="F59" s="412"/>
    </row>
    <row r="60" spans="1:6" ht="12">
      <c r="A60" s="405" t="s">
        <v>524</v>
      </c>
      <c r="B60" s="411" t="s">
        <v>65</v>
      </c>
      <c r="C60" s="1380" t="s">
        <v>527</v>
      </c>
      <c r="D60" s="1378">
        <v>116752</v>
      </c>
      <c r="E60" s="1378">
        <v>19463</v>
      </c>
      <c r="F60" s="1376">
        <v>2007</v>
      </c>
    </row>
    <row r="61" spans="1:6" ht="12">
      <c r="A61" s="405" t="s">
        <v>525</v>
      </c>
      <c r="B61" s="411" t="s">
        <v>436</v>
      </c>
      <c r="C61" s="1381"/>
      <c r="D61" s="1379"/>
      <c r="E61" s="1379"/>
      <c r="F61" s="1377"/>
    </row>
    <row r="62" spans="1:6" ht="12">
      <c r="A62" s="405" t="s">
        <v>526</v>
      </c>
      <c r="B62" s="411" t="s">
        <v>66</v>
      </c>
      <c r="C62" s="1381"/>
      <c r="D62" s="1379"/>
      <c r="E62" s="1379"/>
      <c r="F62" s="1377"/>
    </row>
    <row r="63" spans="1:6" ht="12">
      <c r="A63" s="405" t="s">
        <v>729</v>
      </c>
      <c r="B63" s="411" t="s">
        <v>67</v>
      </c>
      <c r="C63" s="1381"/>
      <c r="D63" s="1379"/>
      <c r="E63" s="1379"/>
      <c r="F63" s="1377"/>
    </row>
    <row r="64" spans="1:6" ht="12">
      <c r="A64" s="405" t="s">
        <v>730</v>
      </c>
      <c r="B64" s="411" t="s">
        <v>951</v>
      </c>
      <c r="C64" s="1381"/>
      <c r="D64" s="1379"/>
      <c r="E64" s="1379"/>
      <c r="F64" s="1377"/>
    </row>
    <row r="65" spans="1:6" ht="12">
      <c r="A65" s="405" t="s">
        <v>731</v>
      </c>
      <c r="B65" s="411" t="s">
        <v>950</v>
      </c>
      <c r="C65" s="1381"/>
      <c r="D65" s="1379"/>
      <c r="E65" s="1379"/>
      <c r="F65" s="1377"/>
    </row>
    <row r="66" spans="1:6" ht="12">
      <c r="A66" s="405" t="s">
        <v>732</v>
      </c>
      <c r="B66" s="411" t="s">
        <v>68</v>
      </c>
      <c r="C66" s="1381"/>
      <c r="D66" s="1379"/>
      <c r="E66" s="1379"/>
      <c r="F66" s="1377"/>
    </row>
    <row r="67" spans="1:6" s="417" customFormat="1" ht="12">
      <c r="A67" s="414"/>
      <c r="B67" s="646" t="s">
        <v>69</v>
      </c>
      <c r="C67" s="430"/>
      <c r="D67" s="416">
        <f>SUM(D60)</f>
        <v>116752</v>
      </c>
      <c r="E67" s="416">
        <f>SUM(E60)</f>
        <v>19463</v>
      </c>
      <c r="F67" s="416"/>
    </row>
    <row r="68" spans="1:6" ht="12">
      <c r="A68" s="418"/>
      <c r="B68" s="409" t="s">
        <v>457</v>
      </c>
      <c r="C68" s="411"/>
      <c r="D68" s="412"/>
      <c r="E68" s="412"/>
      <c r="F68" s="412"/>
    </row>
    <row r="69" spans="1:6" ht="12">
      <c r="A69" s="405" t="s">
        <v>524</v>
      </c>
      <c r="B69" s="411"/>
      <c r="C69" s="411" t="s">
        <v>70</v>
      </c>
      <c r="D69" s="412">
        <v>18000</v>
      </c>
      <c r="E69" s="412">
        <v>3000</v>
      </c>
      <c r="F69" s="1246">
        <v>2007</v>
      </c>
    </row>
    <row r="70" spans="1:6" ht="12">
      <c r="A70" s="405"/>
      <c r="B70" s="409" t="s">
        <v>71</v>
      </c>
      <c r="C70" s="411"/>
      <c r="D70" s="410">
        <f>SUM(D69)</f>
        <v>18000</v>
      </c>
      <c r="E70" s="410">
        <f>SUM(E69:E69)</f>
        <v>3000</v>
      </c>
      <c r="F70" s="410"/>
    </row>
    <row r="71" spans="1:6" s="403" customFormat="1" ht="12">
      <c r="A71" s="404" t="s">
        <v>338</v>
      </c>
      <c r="B71" s="409" t="s">
        <v>452</v>
      </c>
      <c r="C71" s="409"/>
      <c r="D71" s="410">
        <f>SUM(D46,D58,D67,D70)</f>
        <v>220052</v>
      </c>
      <c r="E71" s="410">
        <f>SUM(E46,E58,E67,E70)</f>
        <v>36681</v>
      </c>
      <c r="F71" s="410"/>
    </row>
    <row r="72" spans="1:6" s="431" customFormat="1" ht="12">
      <c r="A72" s="404" t="s">
        <v>395</v>
      </c>
      <c r="B72" s="409" t="s">
        <v>104</v>
      </c>
      <c r="C72" s="409"/>
      <c r="D72" s="410">
        <f>SUM(D71,D39,D29)</f>
        <v>370018</v>
      </c>
      <c r="E72" s="410">
        <f>SUM(E71,E39,E29)</f>
        <v>61679</v>
      </c>
      <c r="F72" s="410"/>
    </row>
    <row r="73" spans="1:6" ht="12">
      <c r="A73" s="432"/>
      <c r="B73" s="433"/>
      <c r="C73" s="433"/>
      <c r="D73" s="434"/>
      <c r="E73" s="434"/>
      <c r="F73" s="434"/>
    </row>
    <row r="74" spans="1:6" s="438" customFormat="1" ht="12">
      <c r="A74" s="435" t="s">
        <v>805</v>
      </c>
      <c r="B74" s="436" t="s">
        <v>105</v>
      </c>
      <c r="C74" s="436"/>
      <c r="D74" s="437">
        <f>SUM(D12,D18,D29)</f>
        <v>74536</v>
      </c>
      <c r="E74" s="437">
        <f>SUM(E12,E18,E29)</f>
        <v>12425</v>
      </c>
      <c r="F74" s="437"/>
    </row>
    <row r="75" spans="1:6" s="438" customFormat="1" ht="12">
      <c r="A75" s="435" t="s">
        <v>327</v>
      </c>
      <c r="B75" s="436" t="s">
        <v>106</v>
      </c>
      <c r="C75" s="436"/>
      <c r="D75" s="437">
        <f>SUM(D39)</f>
        <v>89430</v>
      </c>
      <c r="E75" s="437">
        <f>SUM(E39)</f>
        <v>14908</v>
      </c>
      <c r="F75" s="437"/>
    </row>
    <row r="76" spans="1:6" s="438" customFormat="1" ht="12">
      <c r="A76" s="435" t="s">
        <v>338</v>
      </c>
      <c r="B76" s="436" t="s">
        <v>107</v>
      </c>
      <c r="C76" s="436"/>
      <c r="D76" s="437">
        <f>SUM(D71)</f>
        <v>220052</v>
      </c>
      <c r="E76" s="437">
        <f>SUM(E71)</f>
        <v>36681</v>
      </c>
      <c r="F76" s="437"/>
    </row>
    <row r="77" spans="1:6" s="438" customFormat="1" ht="12">
      <c r="A77" s="436"/>
      <c r="B77" s="436" t="s">
        <v>723</v>
      </c>
      <c r="C77" s="436"/>
      <c r="D77" s="437">
        <f>SUM(D74,D75,D76)</f>
        <v>384018</v>
      </c>
      <c r="E77" s="437">
        <f>SUM(E74,E75,E76)</f>
        <v>64014</v>
      </c>
      <c r="F77" s="437"/>
    </row>
  </sheetData>
  <mergeCells count="6">
    <mergeCell ref="A2:F2"/>
    <mergeCell ref="A3:F3"/>
    <mergeCell ref="F60:F66"/>
    <mergeCell ref="D60:D66"/>
    <mergeCell ref="E60:E66"/>
    <mergeCell ref="C60:C6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 CE,Normál"&amp;P&amp;R&amp;"Times New Roman CE,Normál"5.számú melléklet</oddHeader>
    <oddFooter>&amp;L&amp;8&amp;F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A1">
      <pane xSplit="1" ySplit="8" topLeftCell="B31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B37" sqref="B37"/>
    </sheetView>
  </sheetViews>
  <sheetFormatPr defaultColWidth="9.140625" defaultRowHeight="12.75"/>
  <cols>
    <col min="1" max="1" width="30.00390625" style="27" customWidth="1"/>
    <col min="2" max="2" width="9.28125" style="27" customWidth="1"/>
    <col min="3" max="3" width="8.7109375" style="27" customWidth="1"/>
    <col min="4" max="4" width="9.421875" style="27" bestFit="1" customWidth="1"/>
    <col min="5" max="5" width="9.28125" style="27" customWidth="1"/>
    <col min="6" max="6" width="8.7109375" style="27" customWidth="1"/>
    <col min="7" max="7" width="9.421875" style="27" bestFit="1" customWidth="1"/>
    <col min="8" max="8" width="9.28125" style="27" customWidth="1"/>
    <col min="9" max="9" width="8.7109375" style="27" customWidth="1"/>
    <col min="10" max="10" width="9.421875" style="27" bestFit="1" customWidth="1"/>
    <col min="11" max="11" width="9.28125" style="27" customWidth="1"/>
    <col min="12" max="12" width="8.7109375" style="27" customWidth="1"/>
    <col min="13" max="13" width="10.00390625" style="27" customWidth="1"/>
  </cols>
  <sheetData>
    <row r="1" ht="12" customHeight="1"/>
    <row r="2" spans="1:13" ht="18.75">
      <c r="A2" s="37" t="s">
        <v>132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</row>
    <row r="3" spans="12:13" ht="8.25" customHeight="1">
      <c r="L3" s="809" t="s">
        <v>128</v>
      </c>
      <c r="M3" s="809"/>
    </row>
    <row r="4" spans="1:13" ht="12.75">
      <c r="A4" s="1251" t="s">
        <v>777</v>
      </c>
      <c r="B4" s="1295">
        <v>1</v>
      </c>
      <c r="C4" s="179"/>
      <c r="D4" s="129"/>
      <c r="E4" s="1295">
        <v>2</v>
      </c>
      <c r="F4" s="179"/>
      <c r="G4" s="129"/>
      <c r="H4" s="1295">
        <v>3</v>
      </c>
      <c r="I4" s="179"/>
      <c r="J4" s="129"/>
      <c r="K4" s="1295">
        <v>4</v>
      </c>
      <c r="L4" s="179"/>
      <c r="M4" s="129"/>
    </row>
    <row r="5" spans="1:13" ht="12.75">
      <c r="A5" s="1251" t="s">
        <v>463</v>
      </c>
      <c r="B5" s="1251"/>
      <c r="C5" s="180"/>
      <c r="D5" s="181"/>
      <c r="E5" s="1251"/>
      <c r="F5" s="138"/>
      <c r="G5" s="182"/>
      <c r="H5" s="131"/>
      <c r="I5" s="138"/>
      <c r="J5" s="182"/>
      <c r="K5" s="131"/>
      <c r="L5" s="138"/>
      <c r="M5" s="182"/>
    </row>
    <row r="6" spans="1:13" ht="12.75">
      <c r="A6" s="1251" t="s">
        <v>778</v>
      </c>
      <c r="B6" s="1295" t="s">
        <v>609</v>
      </c>
      <c r="C6" s="179"/>
      <c r="D6" s="129"/>
      <c r="E6" s="1295" t="s">
        <v>133</v>
      </c>
      <c r="F6" s="179"/>
      <c r="G6" s="129"/>
      <c r="H6" s="1295" t="s">
        <v>134</v>
      </c>
      <c r="I6" s="179"/>
      <c r="J6" s="129"/>
      <c r="K6" s="1296" t="s">
        <v>651</v>
      </c>
      <c r="L6" s="179"/>
      <c r="M6" s="129"/>
    </row>
    <row r="7" spans="1:13" ht="12.75">
      <c r="A7" s="1251" t="s">
        <v>781</v>
      </c>
      <c r="B7" s="1295">
        <v>805212</v>
      </c>
      <c r="C7" s="179"/>
      <c r="D7" s="129"/>
      <c r="E7" s="1295">
        <v>924014</v>
      </c>
      <c r="F7" s="179"/>
      <c r="G7" s="129"/>
      <c r="H7" s="1295">
        <v>801313</v>
      </c>
      <c r="I7" s="179"/>
      <c r="J7" s="129"/>
      <c r="K7" s="1382">
        <v>805410</v>
      </c>
      <c r="L7" s="1383"/>
      <c r="M7" s="1384"/>
    </row>
    <row r="8" spans="1:13" ht="12.75">
      <c r="A8" s="1297" t="s">
        <v>782</v>
      </c>
      <c r="B8" s="1298" t="s">
        <v>783</v>
      </c>
      <c r="C8" s="183"/>
      <c r="D8" s="184"/>
      <c r="E8" s="1298"/>
      <c r="F8" s="183"/>
      <c r="G8" s="184"/>
      <c r="H8" s="1298"/>
      <c r="I8" s="183"/>
      <c r="J8" s="184"/>
      <c r="K8" s="1298"/>
      <c r="L8" s="183"/>
      <c r="M8" s="184"/>
    </row>
    <row r="9" spans="1:13" s="381" customFormat="1" ht="31.5">
      <c r="A9" s="887" t="s">
        <v>784</v>
      </c>
      <c r="B9" s="1299" t="s">
        <v>249</v>
      </c>
      <c r="C9" s="812"/>
      <c r="D9" s="1299"/>
      <c r="E9" s="1299" t="s">
        <v>249</v>
      </c>
      <c r="F9" s="812"/>
      <c r="G9" s="1299"/>
      <c r="H9" s="1299" t="s">
        <v>249</v>
      </c>
      <c r="I9" s="812"/>
      <c r="J9" s="1299"/>
      <c r="K9" s="1299" t="s">
        <v>249</v>
      </c>
      <c r="L9" s="812"/>
      <c r="M9" s="1299"/>
    </row>
    <row r="10" spans="1:13" ht="9.75" customHeight="1">
      <c r="A10" s="329" t="s">
        <v>524</v>
      </c>
      <c r="B10" s="32" t="s">
        <v>525</v>
      </c>
      <c r="C10" s="31" t="s">
        <v>526</v>
      </c>
      <c r="D10" s="31" t="s">
        <v>729</v>
      </c>
      <c r="E10" s="31" t="s">
        <v>730</v>
      </c>
      <c r="F10" s="31" t="s">
        <v>731</v>
      </c>
      <c r="G10" s="31" t="s">
        <v>732</v>
      </c>
      <c r="H10" s="31" t="s">
        <v>733</v>
      </c>
      <c r="I10" s="31" t="s">
        <v>734</v>
      </c>
      <c r="J10" s="31" t="s">
        <v>735</v>
      </c>
      <c r="K10" s="31" t="s">
        <v>736</v>
      </c>
      <c r="L10" s="31" t="s">
        <v>737</v>
      </c>
      <c r="M10" s="31" t="s">
        <v>738</v>
      </c>
    </row>
    <row r="11" spans="1:13" ht="12.75">
      <c r="A11" s="353" t="s">
        <v>785</v>
      </c>
      <c r="B11" s="188">
        <v>44</v>
      </c>
      <c r="C11" s="188"/>
      <c r="D11" s="188"/>
      <c r="E11" s="188">
        <v>7</v>
      </c>
      <c r="F11" s="188"/>
      <c r="G11" s="188"/>
      <c r="H11" s="188">
        <v>49.5</v>
      </c>
      <c r="I11" s="188"/>
      <c r="J11" s="188"/>
      <c r="K11" s="188">
        <v>12.5</v>
      </c>
      <c r="L11" s="188"/>
      <c r="M11" s="188"/>
    </row>
    <row r="12" spans="1:13" s="189" customFormat="1" ht="12.75">
      <c r="A12" s="351" t="s">
        <v>786</v>
      </c>
      <c r="B12" s="66"/>
      <c r="C12" s="66"/>
      <c r="D12" s="188"/>
      <c r="E12" s="66"/>
      <c r="F12" s="66"/>
      <c r="G12" s="188"/>
      <c r="H12" s="66"/>
      <c r="I12" s="66"/>
      <c r="J12" s="188"/>
      <c r="K12" s="66"/>
      <c r="L12" s="66"/>
      <c r="M12" s="188"/>
    </row>
    <row r="13" spans="1:13" ht="12.75">
      <c r="A13" s="353" t="s">
        <v>787</v>
      </c>
      <c r="B13" s="65">
        <v>118795</v>
      </c>
      <c r="C13" s="65"/>
      <c r="D13" s="65"/>
      <c r="E13" s="65">
        <v>19708</v>
      </c>
      <c r="F13" s="65"/>
      <c r="G13" s="65"/>
      <c r="H13" s="65">
        <v>119338</v>
      </c>
      <c r="I13" s="65"/>
      <c r="J13" s="65"/>
      <c r="K13" s="65">
        <v>79595</v>
      </c>
      <c r="L13" s="65"/>
      <c r="M13" s="65"/>
    </row>
    <row r="14" spans="1:13" ht="12.75">
      <c r="A14" s="353" t="s">
        <v>125</v>
      </c>
      <c r="B14" s="65">
        <v>37834</v>
      </c>
      <c r="C14" s="65"/>
      <c r="D14" s="65"/>
      <c r="E14" s="65">
        <v>6217</v>
      </c>
      <c r="F14" s="65"/>
      <c r="G14" s="65"/>
      <c r="H14" s="65">
        <v>38433</v>
      </c>
      <c r="I14" s="65"/>
      <c r="J14" s="65"/>
      <c r="K14" s="65">
        <v>23405</v>
      </c>
      <c r="L14" s="65"/>
      <c r="M14" s="65"/>
    </row>
    <row r="15" spans="1:13" ht="12.75">
      <c r="A15" s="353" t="s">
        <v>126</v>
      </c>
      <c r="B15" s="65">
        <f>'[3]Megadott keretszámos'!$BL$47</f>
        <v>5036</v>
      </c>
      <c r="C15" s="65"/>
      <c r="D15" s="65"/>
      <c r="E15" s="65">
        <f>'[3]Megadott keretszámos'!$BL$61+'[3]Megadott keretszámos'!$BL$62</f>
        <v>15480</v>
      </c>
      <c r="F15" s="65"/>
      <c r="G15" s="65"/>
      <c r="H15" s="65">
        <f>'[3]Megadott keretszámos'!$BL$45</f>
        <v>7993</v>
      </c>
      <c r="I15" s="65"/>
      <c r="J15" s="65"/>
      <c r="K15" s="65">
        <f>'[3]Megadott keretszámos'!$BL$50</f>
        <v>35262</v>
      </c>
      <c r="L15" s="65"/>
      <c r="M15" s="65"/>
    </row>
    <row r="16" spans="1:13" ht="24">
      <c r="A16" s="339" t="s">
        <v>421</v>
      </c>
      <c r="B16" s="65"/>
      <c r="C16" s="65"/>
      <c r="D16" s="65"/>
      <c r="E16" s="65"/>
      <c r="F16" s="65"/>
      <c r="G16" s="188"/>
      <c r="H16" s="65"/>
      <c r="I16" s="65"/>
      <c r="J16" s="65"/>
      <c r="K16" s="65"/>
      <c r="L16" s="65"/>
      <c r="M16" s="65"/>
    </row>
    <row r="17" spans="1:13" ht="12.75">
      <c r="A17" s="353" t="s">
        <v>135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13" s="189" customFormat="1" ht="12.75">
      <c r="A18" s="351" t="s">
        <v>127</v>
      </c>
      <c r="B18" s="66">
        <f aca="true" t="shared" si="0" ref="B18:M18">SUM(B13:B17)</f>
        <v>161665</v>
      </c>
      <c r="C18" s="66">
        <f t="shared" si="0"/>
        <v>0</v>
      </c>
      <c r="D18" s="66">
        <f t="shared" si="0"/>
        <v>0</v>
      </c>
      <c r="E18" s="66">
        <f t="shared" si="0"/>
        <v>41405</v>
      </c>
      <c r="F18" s="66">
        <f t="shared" si="0"/>
        <v>0</v>
      </c>
      <c r="G18" s="66">
        <f t="shared" si="0"/>
        <v>0</v>
      </c>
      <c r="H18" s="66">
        <f t="shared" si="0"/>
        <v>165764</v>
      </c>
      <c r="I18" s="66">
        <f t="shared" si="0"/>
        <v>0</v>
      </c>
      <c r="J18" s="66">
        <f t="shared" si="0"/>
        <v>0</v>
      </c>
      <c r="K18" s="66">
        <f t="shared" si="0"/>
        <v>138262</v>
      </c>
      <c r="L18" s="66">
        <f t="shared" si="0"/>
        <v>0</v>
      </c>
      <c r="M18" s="66">
        <f t="shared" si="0"/>
        <v>0</v>
      </c>
    </row>
    <row r="19" spans="1:13" ht="12.75">
      <c r="A19" s="353" t="s">
        <v>800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3" ht="12.75">
      <c r="A20" s="353" t="s">
        <v>801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1:13" ht="24">
      <c r="A21" s="339" t="s">
        <v>799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</row>
    <row r="22" spans="1:13" s="189" customFormat="1" ht="12.75">
      <c r="A22" s="351" t="s">
        <v>719</v>
      </c>
      <c r="B22" s="66">
        <f aca="true" t="shared" si="1" ref="B22:M22">SUM(B19:B21)</f>
        <v>0</v>
      </c>
      <c r="C22" s="66">
        <f t="shared" si="1"/>
        <v>0</v>
      </c>
      <c r="D22" s="66">
        <f t="shared" si="1"/>
        <v>0</v>
      </c>
      <c r="E22" s="66">
        <f t="shared" si="1"/>
        <v>0</v>
      </c>
      <c r="F22" s="66">
        <f t="shared" si="1"/>
        <v>0</v>
      </c>
      <c r="G22" s="66">
        <f t="shared" si="1"/>
        <v>0</v>
      </c>
      <c r="H22" s="66">
        <f t="shared" si="1"/>
        <v>0</v>
      </c>
      <c r="I22" s="66">
        <f t="shared" si="1"/>
        <v>0</v>
      </c>
      <c r="J22" s="66">
        <f t="shared" si="1"/>
        <v>0</v>
      </c>
      <c r="K22" s="66">
        <f t="shared" si="1"/>
        <v>0</v>
      </c>
      <c r="L22" s="66">
        <f t="shared" si="1"/>
        <v>0</v>
      </c>
      <c r="M22" s="66">
        <f t="shared" si="1"/>
        <v>0</v>
      </c>
    </row>
    <row r="23" spans="1:13" s="189" customFormat="1" ht="12.75">
      <c r="A23" s="358" t="s">
        <v>720</v>
      </c>
      <c r="B23" s="66">
        <f aca="true" t="shared" si="2" ref="B23:M23">SUM(B18+B22)</f>
        <v>161665</v>
      </c>
      <c r="C23" s="66">
        <f t="shared" si="2"/>
        <v>0</v>
      </c>
      <c r="D23" s="66">
        <f t="shared" si="2"/>
        <v>0</v>
      </c>
      <c r="E23" s="66">
        <f t="shared" si="2"/>
        <v>41405</v>
      </c>
      <c r="F23" s="66">
        <f t="shared" si="2"/>
        <v>0</v>
      </c>
      <c r="G23" s="66">
        <f t="shared" si="2"/>
        <v>0</v>
      </c>
      <c r="H23" s="66">
        <f t="shared" si="2"/>
        <v>165764</v>
      </c>
      <c r="I23" s="66">
        <f t="shared" si="2"/>
        <v>0</v>
      </c>
      <c r="J23" s="66">
        <f t="shared" si="2"/>
        <v>0</v>
      </c>
      <c r="K23" s="66">
        <f t="shared" si="2"/>
        <v>138262</v>
      </c>
      <c r="L23" s="66">
        <f t="shared" si="2"/>
        <v>0</v>
      </c>
      <c r="M23" s="66">
        <f t="shared" si="2"/>
        <v>0</v>
      </c>
    </row>
    <row r="24" spans="1:13" s="189" customFormat="1" ht="12.75">
      <c r="A24" s="351" t="s">
        <v>721</v>
      </c>
      <c r="B24" s="66"/>
      <c r="C24" s="66"/>
      <c r="D24" s="65"/>
      <c r="E24" s="66"/>
      <c r="F24" s="66"/>
      <c r="G24" s="65"/>
      <c r="H24" s="66"/>
      <c r="I24" s="66"/>
      <c r="J24" s="65"/>
      <c r="K24" s="66"/>
      <c r="L24" s="66"/>
      <c r="M24" s="65"/>
    </row>
    <row r="25" spans="1:13" ht="24">
      <c r="A25" s="339" t="s">
        <v>422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24">
      <c r="A26" s="339" t="s">
        <v>448</v>
      </c>
      <c r="B26" s="65"/>
      <c r="C26" s="65"/>
      <c r="D26" s="65"/>
      <c r="E26" s="65">
        <v>1887</v>
      </c>
      <c r="F26" s="65"/>
      <c r="G26" s="65"/>
      <c r="H26" s="65">
        <v>0</v>
      </c>
      <c r="I26" s="65"/>
      <c r="J26" s="65"/>
      <c r="K26" s="65">
        <v>18619</v>
      </c>
      <c r="L26" s="65"/>
      <c r="M26" s="65"/>
    </row>
    <row r="27" spans="1:13" ht="12.75">
      <c r="A27" s="353" t="s">
        <v>449</v>
      </c>
      <c r="B27" s="65">
        <v>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8" spans="1:13" ht="12.75">
      <c r="A28" s="353" t="s">
        <v>136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</row>
    <row r="29" spans="1:13" ht="12.75">
      <c r="A29" s="353" t="s">
        <v>137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3" ht="24">
      <c r="A30" s="339" t="s">
        <v>794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</row>
    <row r="31" spans="1:13" ht="24">
      <c r="A31" s="482" t="s">
        <v>795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</row>
    <row r="32" spans="1:13" ht="12.75">
      <c r="A32" s="353" t="s">
        <v>796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3" ht="12.75">
      <c r="A33" s="353" t="s">
        <v>797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</row>
    <row r="34" spans="1:13" ht="12.75">
      <c r="A34" s="353" t="s">
        <v>798</v>
      </c>
      <c r="B34" s="65">
        <f aca="true" t="shared" si="3" ref="B34:M34">+B23-B25-B26-B27-B28-B30-B31-B32-B33-B29</f>
        <v>161665</v>
      </c>
      <c r="C34" s="65">
        <f t="shared" si="3"/>
        <v>0</v>
      </c>
      <c r="D34" s="65">
        <f t="shared" si="3"/>
        <v>0</v>
      </c>
      <c r="E34" s="65">
        <f t="shared" si="3"/>
        <v>39518</v>
      </c>
      <c r="F34" s="65">
        <f t="shared" si="3"/>
        <v>0</v>
      </c>
      <c r="G34" s="65">
        <f t="shared" si="3"/>
        <v>0</v>
      </c>
      <c r="H34" s="65">
        <f t="shared" si="3"/>
        <v>165764</v>
      </c>
      <c r="I34" s="65">
        <f t="shared" si="3"/>
        <v>0</v>
      </c>
      <c r="J34" s="65">
        <f t="shared" si="3"/>
        <v>0</v>
      </c>
      <c r="K34" s="65">
        <f t="shared" si="3"/>
        <v>119643</v>
      </c>
      <c r="L34" s="65">
        <f t="shared" si="3"/>
        <v>0</v>
      </c>
      <c r="M34" s="65">
        <f t="shared" si="3"/>
        <v>0</v>
      </c>
    </row>
    <row r="35" spans="1:13" ht="12.75">
      <c r="A35" s="1300" t="s">
        <v>197</v>
      </c>
      <c r="B35" s="65"/>
      <c r="C35" s="65"/>
      <c r="D35" s="65"/>
      <c r="E35" s="65"/>
      <c r="F35" s="65"/>
      <c r="G35" s="65"/>
      <c r="H35" s="65">
        <v>54145</v>
      </c>
      <c r="I35" s="65"/>
      <c r="J35" s="65"/>
      <c r="K35" s="65"/>
      <c r="L35" s="65"/>
      <c r="M35" s="65"/>
    </row>
    <row r="36" spans="1:13" ht="12.75">
      <c r="A36" s="1301" t="s">
        <v>398</v>
      </c>
      <c r="B36" s="65">
        <v>38080</v>
      </c>
      <c r="C36" s="65"/>
      <c r="D36" s="65"/>
      <c r="E36" s="65"/>
      <c r="F36" s="65"/>
      <c r="G36" s="65"/>
      <c r="H36" s="65"/>
      <c r="I36" s="65"/>
      <c r="J36" s="65"/>
      <c r="K36" s="65">
        <v>2040</v>
      </c>
      <c r="L36" s="65"/>
      <c r="M36" s="65"/>
    </row>
    <row r="37" spans="1:13" s="189" customFormat="1" ht="12.75">
      <c r="A37" s="358" t="s">
        <v>722</v>
      </c>
      <c r="B37" s="66">
        <f aca="true" t="shared" si="4" ref="B37:M37">SUM(B25:B34)</f>
        <v>161665</v>
      </c>
      <c r="C37" s="66">
        <f t="shared" si="4"/>
        <v>0</v>
      </c>
      <c r="D37" s="66">
        <f t="shared" si="4"/>
        <v>0</v>
      </c>
      <c r="E37" s="66">
        <f t="shared" si="4"/>
        <v>41405</v>
      </c>
      <c r="F37" s="66">
        <f t="shared" si="4"/>
        <v>0</v>
      </c>
      <c r="G37" s="66">
        <f t="shared" si="4"/>
        <v>0</v>
      </c>
      <c r="H37" s="66">
        <f t="shared" si="4"/>
        <v>165764</v>
      </c>
      <c r="I37" s="66">
        <f t="shared" si="4"/>
        <v>0</v>
      </c>
      <c r="J37" s="66">
        <f t="shared" si="4"/>
        <v>0</v>
      </c>
      <c r="K37" s="66">
        <f t="shared" si="4"/>
        <v>138262</v>
      </c>
      <c r="L37" s="66">
        <f t="shared" si="4"/>
        <v>0</v>
      </c>
      <c r="M37" s="66">
        <f t="shared" si="4"/>
        <v>0</v>
      </c>
    </row>
    <row r="39" spans="2:11" ht="12.75">
      <c r="B39" s="134"/>
      <c r="E39" s="134"/>
      <c r="H39" s="134"/>
      <c r="K39" s="134"/>
    </row>
  </sheetData>
  <mergeCells count="1">
    <mergeCell ref="K7:M7"/>
  </mergeCells>
  <printOptions horizontalCentered="1"/>
  <pageMargins left="0.3937007874015748" right="0.3937007874015748" top="0.31496062992125984" bottom="0.31496062992125984" header="0.31496062992125984" footer="0"/>
  <pageSetup horizontalDpi="300" verticalDpi="300" orientation="landscape" paperSize="9" r:id="rId1"/>
  <headerFooter alignWithMargins="0">
    <oddHeader>&amp;C&amp;"Times New Roman,Normál"&amp;8 1&amp;R&amp;"Times New Roman,Normál"6/a.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A1">
      <pane xSplit="1" ySplit="8" topLeftCell="G30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N35" sqref="N35"/>
    </sheetView>
  </sheetViews>
  <sheetFormatPr defaultColWidth="9.140625" defaultRowHeight="12.75"/>
  <cols>
    <col min="1" max="1" width="28.8515625" style="27" customWidth="1"/>
    <col min="2" max="2" width="9.28125" style="27" customWidth="1"/>
    <col min="3" max="3" width="8.7109375" style="27" customWidth="1"/>
    <col min="4" max="4" width="9.421875" style="27" bestFit="1" customWidth="1"/>
    <col min="5" max="5" width="9.28125" style="27" customWidth="1"/>
    <col min="6" max="6" width="8.7109375" style="27" customWidth="1"/>
    <col min="7" max="7" width="9.421875" style="27" bestFit="1" customWidth="1"/>
    <col min="8" max="8" width="9.28125" style="27" customWidth="1"/>
    <col min="9" max="9" width="8.7109375" style="27" customWidth="1"/>
    <col min="10" max="10" width="9.421875" style="27" bestFit="1" customWidth="1"/>
    <col min="11" max="11" width="9.28125" style="27" customWidth="1"/>
    <col min="12" max="12" width="8.7109375" style="27" customWidth="1"/>
    <col min="13" max="13" width="9.421875" style="27" bestFit="1" customWidth="1"/>
  </cols>
  <sheetData>
    <row r="1" ht="12" customHeight="1"/>
    <row r="2" spans="1:13" ht="18.75">
      <c r="A2" s="37" t="s">
        <v>132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</row>
    <row r="3" spans="12:13" ht="9.75" customHeight="1">
      <c r="L3" s="809" t="s">
        <v>128</v>
      </c>
      <c r="M3" s="809"/>
    </row>
    <row r="4" spans="1:13" ht="12" customHeight="1">
      <c r="A4" s="1251" t="s">
        <v>777</v>
      </c>
      <c r="B4" s="1295">
        <v>5</v>
      </c>
      <c r="C4" s="179"/>
      <c r="D4" s="129"/>
      <c r="E4" s="1295">
        <v>6</v>
      </c>
      <c r="F4" s="179"/>
      <c r="G4" s="129"/>
      <c r="H4" s="1295">
        <v>7</v>
      </c>
      <c r="I4" s="179"/>
      <c r="J4" s="129"/>
      <c r="K4" s="1295">
        <v>8</v>
      </c>
      <c r="L4" s="179"/>
      <c r="M4" s="129"/>
    </row>
    <row r="5" spans="1:13" ht="12" customHeight="1">
      <c r="A5" s="1251" t="s">
        <v>463</v>
      </c>
      <c r="B5" s="1251"/>
      <c r="C5" s="180"/>
      <c r="D5" s="181"/>
      <c r="E5" s="1251"/>
      <c r="F5" s="138"/>
      <c r="G5" s="182"/>
      <c r="H5" s="131"/>
      <c r="I5" s="138"/>
      <c r="J5" s="182"/>
      <c r="K5" s="131"/>
      <c r="L5" s="138"/>
      <c r="M5" s="182"/>
    </row>
    <row r="6" spans="1:13" ht="12" customHeight="1">
      <c r="A6" s="1251" t="s">
        <v>778</v>
      </c>
      <c r="B6" s="1295" t="s">
        <v>138</v>
      </c>
      <c r="C6" s="179"/>
      <c r="D6" s="129"/>
      <c r="E6" s="1295" t="s">
        <v>139</v>
      </c>
      <c r="F6" s="179"/>
      <c r="G6" s="129"/>
      <c r="H6" s="1295" t="s">
        <v>140</v>
      </c>
      <c r="I6" s="179"/>
      <c r="J6" s="129"/>
      <c r="K6" s="1295" t="s">
        <v>141</v>
      </c>
      <c r="L6" s="179"/>
      <c r="M6" s="129"/>
    </row>
    <row r="7" spans="1:13" ht="12" customHeight="1">
      <c r="A7" s="1251" t="s">
        <v>781</v>
      </c>
      <c r="B7" s="179">
        <v>923215</v>
      </c>
      <c r="C7" s="179"/>
      <c r="D7" s="129"/>
      <c r="E7" s="1295">
        <v>751779</v>
      </c>
      <c r="F7" s="179"/>
      <c r="G7" s="129"/>
      <c r="H7" s="1295">
        <v>801115</v>
      </c>
      <c r="I7" s="179"/>
      <c r="J7" s="129"/>
      <c r="K7" s="1295">
        <v>801115</v>
      </c>
      <c r="L7" s="179"/>
      <c r="M7" s="129"/>
    </row>
    <row r="8" spans="1:13" ht="12" customHeight="1">
      <c r="A8" s="1297" t="s">
        <v>782</v>
      </c>
      <c r="B8" s="1298" t="s">
        <v>783</v>
      </c>
      <c r="C8" s="183"/>
      <c r="D8" s="184"/>
      <c r="E8" s="1298"/>
      <c r="F8" s="183"/>
      <c r="G8" s="184"/>
      <c r="H8" s="1298"/>
      <c r="I8" s="183"/>
      <c r="J8" s="184"/>
      <c r="K8" s="1298"/>
      <c r="L8" s="183"/>
      <c r="M8" s="184"/>
    </row>
    <row r="9" spans="1:13" s="187" customFormat="1" ht="31.5">
      <c r="A9" s="1302" t="s">
        <v>784</v>
      </c>
      <c r="B9" s="1299" t="s">
        <v>249</v>
      </c>
      <c r="C9" s="812"/>
      <c r="D9" s="1299"/>
      <c r="E9" s="1299" t="s">
        <v>249</v>
      </c>
      <c r="F9" s="812"/>
      <c r="G9" s="1299"/>
      <c r="H9" s="1299" t="s">
        <v>249</v>
      </c>
      <c r="I9" s="812"/>
      <c r="J9" s="1299"/>
      <c r="K9" s="1299" t="s">
        <v>249</v>
      </c>
      <c r="L9" s="812"/>
      <c r="M9" s="1299"/>
    </row>
    <row r="10" spans="1:13" ht="9.75" customHeight="1">
      <c r="A10" s="329" t="s">
        <v>524</v>
      </c>
      <c r="B10" s="32" t="s">
        <v>525</v>
      </c>
      <c r="C10" s="31" t="s">
        <v>526</v>
      </c>
      <c r="D10" s="31" t="s">
        <v>729</v>
      </c>
      <c r="E10" s="31" t="s">
        <v>730</v>
      </c>
      <c r="F10" s="31" t="s">
        <v>731</v>
      </c>
      <c r="G10" s="31" t="s">
        <v>732</v>
      </c>
      <c r="H10" s="31" t="s">
        <v>733</v>
      </c>
      <c r="I10" s="31" t="s">
        <v>734</v>
      </c>
      <c r="J10" s="31" t="s">
        <v>735</v>
      </c>
      <c r="K10" s="31" t="s">
        <v>736</v>
      </c>
      <c r="L10" s="31" t="s">
        <v>737</v>
      </c>
      <c r="M10" s="31" t="s">
        <v>738</v>
      </c>
    </row>
    <row r="11" spans="1:13" ht="12.75">
      <c r="A11" s="353" t="s">
        <v>785</v>
      </c>
      <c r="B11" s="188">
        <v>7</v>
      </c>
      <c r="C11" s="188"/>
      <c r="D11" s="188"/>
      <c r="E11" s="188">
        <v>5</v>
      </c>
      <c r="F11" s="188"/>
      <c r="G11" s="188"/>
      <c r="H11" s="188">
        <v>35.5</v>
      </c>
      <c r="I11" s="188"/>
      <c r="J11" s="188"/>
      <c r="K11" s="188">
        <v>19.5</v>
      </c>
      <c r="L11" s="188"/>
      <c r="M11" s="188"/>
    </row>
    <row r="12" spans="1:13" s="189" customFormat="1" ht="12.75">
      <c r="A12" s="351" t="s">
        <v>786</v>
      </c>
      <c r="B12" s="66"/>
      <c r="C12" s="66"/>
      <c r="D12" s="188"/>
      <c r="E12" s="66"/>
      <c r="F12" s="66"/>
      <c r="G12" s="188"/>
      <c r="H12" s="66"/>
      <c r="I12" s="66"/>
      <c r="J12" s="188"/>
      <c r="K12" s="66"/>
      <c r="L12" s="66"/>
      <c r="M12" s="188"/>
    </row>
    <row r="13" spans="1:13" ht="12.75">
      <c r="A13" s="353" t="s">
        <v>787</v>
      </c>
      <c r="B13" s="65">
        <v>13924</v>
      </c>
      <c r="C13" s="65"/>
      <c r="D13" s="65"/>
      <c r="E13" s="65">
        <v>10361</v>
      </c>
      <c r="F13" s="65"/>
      <c r="G13" s="65"/>
      <c r="H13" s="65">
        <v>77312</v>
      </c>
      <c r="I13" s="65"/>
      <c r="J13" s="65"/>
      <c r="K13" s="65">
        <v>46404</v>
      </c>
      <c r="L13" s="65"/>
      <c r="M13" s="65"/>
    </row>
    <row r="14" spans="1:13" ht="12.75">
      <c r="A14" s="353" t="s">
        <v>125</v>
      </c>
      <c r="B14" s="65">
        <v>4477</v>
      </c>
      <c r="C14" s="65"/>
      <c r="D14" s="65"/>
      <c r="E14" s="65">
        <v>3237</v>
      </c>
      <c r="F14" s="65"/>
      <c r="G14" s="65"/>
      <c r="H14" s="65">
        <v>25098</v>
      </c>
      <c r="I14" s="65"/>
      <c r="J14" s="65"/>
      <c r="K14" s="65">
        <v>15047</v>
      </c>
      <c r="L14" s="65"/>
      <c r="M14" s="65"/>
    </row>
    <row r="15" spans="1:13" ht="12.75">
      <c r="A15" s="353" t="s">
        <v>126</v>
      </c>
      <c r="B15" s="65">
        <f>'[3]Megadott keretszámos'!$BL$67</f>
        <v>20344</v>
      </c>
      <c r="C15" s="65"/>
      <c r="D15" s="65"/>
      <c r="E15" s="65">
        <f>'[3]Megadott keretszámos'!$BL$46</f>
        <v>3592</v>
      </c>
      <c r="F15" s="65"/>
      <c r="G15" s="65"/>
      <c r="H15" s="65">
        <f>'[3]Megadott keretszámos'!$BL$25</f>
        <v>29160</v>
      </c>
      <c r="I15" s="65"/>
      <c r="J15" s="65"/>
      <c r="K15" s="65">
        <f>'[3]Megadott keretszámos'!$BL$26</f>
        <v>14507</v>
      </c>
      <c r="L15" s="65"/>
      <c r="M15" s="65"/>
    </row>
    <row r="16" spans="1:13" ht="22.5">
      <c r="A16" s="1303" t="s">
        <v>421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ht="12.75">
      <c r="A17" s="353" t="s">
        <v>135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13" s="189" customFormat="1" ht="12.75">
      <c r="A18" s="351" t="s">
        <v>127</v>
      </c>
      <c r="B18" s="66">
        <f aca="true" t="shared" si="0" ref="B18:M18">SUM(B13:B17)</f>
        <v>38745</v>
      </c>
      <c r="C18" s="66">
        <f t="shared" si="0"/>
        <v>0</v>
      </c>
      <c r="D18" s="66">
        <f t="shared" si="0"/>
        <v>0</v>
      </c>
      <c r="E18" s="66">
        <f t="shared" si="0"/>
        <v>17190</v>
      </c>
      <c r="F18" s="66">
        <f t="shared" si="0"/>
        <v>0</v>
      </c>
      <c r="G18" s="66">
        <f t="shared" si="0"/>
        <v>0</v>
      </c>
      <c r="H18" s="66">
        <f t="shared" si="0"/>
        <v>131570</v>
      </c>
      <c r="I18" s="66">
        <f t="shared" si="0"/>
        <v>0</v>
      </c>
      <c r="J18" s="66">
        <f t="shared" si="0"/>
        <v>0</v>
      </c>
      <c r="K18" s="66">
        <f t="shared" si="0"/>
        <v>75958</v>
      </c>
      <c r="L18" s="66">
        <f t="shared" si="0"/>
        <v>0</v>
      </c>
      <c r="M18" s="66">
        <f t="shared" si="0"/>
        <v>0</v>
      </c>
    </row>
    <row r="19" spans="1:13" ht="12.75">
      <c r="A19" s="353" t="s">
        <v>800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3" ht="12.75">
      <c r="A20" s="353" t="s">
        <v>801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1:13" ht="24">
      <c r="A21" s="339" t="s">
        <v>799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</row>
    <row r="22" spans="1:13" s="189" customFormat="1" ht="12.75">
      <c r="A22" s="351" t="s">
        <v>719</v>
      </c>
      <c r="B22" s="66">
        <f aca="true" t="shared" si="1" ref="B22:M22">SUM(B19:B21)</f>
        <v>0</v>
      </c>
      <c r="C22" s="66">
        <f t="shared" si="1"/>
        <v>0</v>
      </c>
      <c r="D22" s="66">
        <f t="shared" si="1"/>
        <v>0</v>
      </c>
      <c r="E22" s="66">
        <f t="shared" si="1"/>
        <v>0</v>
      </c>
      <c r="F22" s="66">
        <f t="shared" si="1"/>
        <v>0</v>
      </c>
      <c r="G22" s="66">
        <f t="shared" si="1"/>
        <v>0</v>
      </c>
      <c r="H22" s="66">
        <f t="shared" si="1"/>
        <v>0</v>
      </c>
      <c r="I22" s="66">
        <f t="shared" si="1"/>
        <v>0</v>
      </c>
      <c r="J22" s="66">
        <f t="shared" si="1"/>
        <v>0</v>
      </c>
      <c r="K22" s="66">
        <f t="shared" si="1"/>
        <v>0</v>
      </c>
      <c r="L22" s="66">
        <f t="shared" si="1"/>
        <v>0</v>
      </c>
      <c r="M22" s="66">
        <f t="shared" si="1"/>
        <v>0</v>
      </c>
    </row>
    <row r="23" spans="1:13" s="189" customFormat="1" ht="12.75">
      <c r="A23" s="358" t="s">
        <v>720</v>
      </c>
      <c r="B23" s="66">
        <f aca="true" t="shared" si="2" ref="B23:M23">SUM(B18+B22)</f>
        <v>38745</v>
      </c>
      <c r="C23" s="66">
        <f t="shared" si="2"/>
        <v>0</v>
      </c>
      <c r="D23" s="66">
        <f t="shared" si="2"/>
        <v>0</v>
      </c>
      <c r="E23" s="66">
        <f t="shared" si="2"/>
        <v>17190</v>
      </c>
      <c r="F23" s="66">
        <f t="shared" si="2"/>
        <v>0</v>
      </c>
      <c r="G23" s="66">
        <f t="shared" si="2"/>
        <v>0</v>
      </c>
      <c r="H23" s="66">
        <f t="shared" si="2"/>
        <v>131570</v>
      </c>
      <c r="I23" s="66">
        <f t="shared" si="2"/>
        <v>0</v>
      </c>
      <c r="J23" s="66">
        <f t="shared" si="2"/>
        <v>0</v>
      </c>
      <c r="K23" s="66">
        <f t="shared" si="2"/>
        <v>75958</v>
      </c>
      <c r="L23" s="66">
        <f t="shared" si="2"/>
        <v>0</v>
      </c>
      <c r="M23" s="66">
        <f t="shared" si="2"/>
        <v>0</v>
      </c>
    </row>
    <row r="24" spans="1:13" s="189" customFormat="1" ht="12.75">
      <c r="A24" s="351" t="s">
        <v>721</v>
      </c>
      <c r="B24" s="66"/>
      <c r="C24" s="66"/>
      <c r="D24" s="65"/>
      <c r="E24" s="66"/>
      <c r="F24" s="66"/>
      <c r="G24" s="65"/>
      <c r="H24" s="66"/>
      <c r="I24" s="66"/>
      <c r="J24" s="65"/>
      <c r="K24" s="66"/>
      <c r="L24" s="66"/>
      <c r="M24" s="65"/>
    </row>
    <row r="25" spans="1:13" ht="22.5">
      <c r="A25" s="1303" t="s">
        <v>422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22.5">
      <c r="A26" s="1303" t="s">
        <v>448</v>
      </c>
      <c r="B26" s="65">
        <v>0</v>
      </c>
      <c r="C26" s="65"/>
      <c r="D26" s="65"/>
      <c r="E26" s="65">
        <v>0</v>
      </c>
      <c r="F26" s="65"/>
      <c r="G26" s="65"/>
      <c r="H26" s="65">
        <f>164+7170</f>
        <v>7334</v>
      </c>
      <c r="I26" s="65"/>
      <c r="J26" s="65"/>
      <c r="K26" s="65">
        <v>4500</v>
      </c>
      <c r="L26" s="65"/>
      <c r="M26" s="65"/>
    </row>
    <row r="27" spans="1:13" ht="12.75">
      <c r="A27" s="353" t="s">
        <v>449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8" spans="1:13" ht="12.75">
      <c r="A28" s="353" t="s">
        <v>136</v>
      </c>
      <c r="B28" s="65"/>
      <c r="C28" s="65"/>
      <c r="D28" s="65"/>
      <c r="E28" s="65"/>
      <c r="F28" s="65"/>
      <c r="G28" s="65"/>
      <c r="H28" s="65">
        <v>1434</v>
      </c>
      <c r="I28" s="65"/>
      <c r="J28" s="65"/>
      <c r="K28" s="65">
        <v>900</v>
      </c>
      <c r="L28" s="65"/>
      <c r="M28" s="65"/>
    </row>
    <row r="29" spans="1:13" ht="12.75">
      <c r="A29" s="353" t="s">
        <v>137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3" ht="22.5">
      <c r="A30" s="1303" t="s">
        <v>794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</row>
    <row r="31" spans="1:13" ht="22.5">
      <c r="A31" s="1304" t="s">
        <v>795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</row>
    <row r="32" spans="1:13" ht="12.75">
      <c r="A32" s="353" t="s">
        <v>796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3" ht="12.75">
      <c r="A33" s="353" t="s">
        <v>797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</row>
    <row r="34" spans="1:13" ht="12.75">
      <c r="A34" s="353" t="s">
        <v>798</v>
      </c>
      <c r="B34" s="65">
        <f aca="true" t="shared" si="3" ref="B34:M34">+B23-B25-B26-B27-B28-B30-B31-B32-B33-B29</f>
        <v>38745</v>
      </c>
      <c r="C34" s="65">
        <f t="shared" si="3"/>
        <v>0</v>
      </c>
      <c r="D34" s="65">
        <f t="shared" si="3"/>
        <v>0</v>
      </c>
      <c r="E34" s="65">
        <f t="shared" si="3"/>
        <v>17190</v>
      </c>
      <c r="F34" s="65">
        <f t="shared" si="3"/>
        <v>0</v>
      </c>
      <c r="G34" s="65">
        <f t="shared" si="3"/>
        <v>0</v>
      </c>
      <c r="H34" s="65">
        <f t="shared" si="3"/>
        <v>122802</v>
      </c>
      <c r="I34" s="65">
        <f t="shared" si="3"/>
        <v>0</v>
      </c>
      <c r="J34" s="65">
        <f t="shared" si="3"/>
        <v>0</v>
      </c>
      <c r="K34" s="65">
        <f t="shared" si="3"/>
        <v>70558</v>
      </c>
      <c r="L34" s="65">
        <f t="shared" si="3"/>
        <v>0</v>
      </c>
      <c r="M34" s="65">
        <f t="shared" si="3"/>
        <v>0</v>
      </c>
    </row>
    <row r="35" spans="1:13" ht="12.75">
      <c r="A35" s="1300" t="s">
        <v>197</v>
      </c>
      <c r="B35" s="65">
        <v>16762</v>
      </c>
      <c r="C35" s="65"/>
      <c r="D35" s="65"/>
      <c r="E35" s="65"/>
      <c r="F35" s="65"/>
      <c r="G35" s="65"/>
      <c r="H35" s="65">
        <v>50249</v>
      </c>
      <c r="I35" s="65"/>
      <c r="J35" s="65"/>
      <c r="K35" s="65">
        <v>26834</v>
      </c>
      <c r="L35" s="65"/>
      <c r="M35" s="65"/>
    </row>
    <row r="36" spans="1:13" ht="12" customHeight="1">
      <c r="A36" s="1301" t="s">
        <v>398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spans="1:13" s="189" customFormat="1" ht="11.25" customHeight="1">
      <c r="A37" s="358" t="s">
        <v>722</v>
      </c>
      <c r="B37" s="66">
        <f aca="true" t="shared" si="4" ref="B37:M37">SUM(B25:B34)</f>
        <v>38745</v>
      </c>
      <c r="C37" s="66">
        <f t="shared" si="4"/>
        <v>0</v>
      </c>
      <c r="D37" s="66">
        <f t="shared" si="4"/>
        <v>0</v>
      </c>
      <c r="E37" s="66">
        <f t="shared" si="4"/>
        <v>17190</v>
      </c>
      <c r="F37" s="66">
        <f t="shared" si="4"/>
        <v>0</v>
      </c>
      <c r="G37" s="66">
        <f t="shared" si="4"/>
        <v>0</v>
      </c>
      <c r="H37" s="66">
        <f t="shared" si="4"/>
        <v>131570</v>
      </c>
      <c r="I37" s="66">
        <f t="shared" si="4"/>
        <v>0</v>
      </c>
      <c r="J37" s="66">
        <f t="shared" si="4"/>
        <v>0</v>
      </c>
      <c r="K37" s="66">
        <f t="shared" si="4"/>
        <v>75958</v>
      </c>
      <c r="L37" s="66">
        <f t="shared" si="4"/>
        <v>0</v>
      </c>
      <c r="M37" s="66">
        <f t="shared" si="4"/>
        <v>0</v>
      </c>
    </row>
    <row r="39" spans="2:11" ht="12.75">
      <c r="B39" s="134"/>
      <c r="E39" s="134"/>
      <c r="H39" s="134"/>
      <c r="K39" s="134"/>
    </row>
  </sheetData>
  <printOptions horizontalCentered="1"/>
  <pageMargins left="0.3937007874015748" right="0.3937007874015748" top="0.31496062992125984" bottom="0.5118110236220472" header="0.31496062992125984" footer="0"/>
  <pageSetup horizontalDpi="300" verticalDpi="300" orientation="landscape" paperSize="9" r:id="rId1"/>
  <headerFooter alignWithMargins="0">
    <oddHeader>&amp;C&amp;"Times New Roman,Normál"&amp;8 2&amp;R&amp;"Times New Roman,Normál"6/a. számú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A1">
      <pane xSplit="1" ySplit="10" topLeftCell="E32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L35" sqref="L35"/>
    </sheetView>
  </sheetViews>
  <sheetFormatPr defaultColWidth="9.140625" defaultRowHeight="12.75"/>
  <cols>
    <col min="1" max="1" width="28.8515625" style="27" customWidth="1"/>
    <col min="2" max="2" width="9.28125" style="27" customWidth="1"/>
    <col min="3" max="3" width="8.7109375" style="27" customWidth="1"/>
    <col min="4" max="4" width="9.421875" style="27" bestFit="1" customWidth="1"/>
    <col min="5" max="5" width="9.28125" style="27" customWidth="1"/>
    <col min="6" max="6" width="8.7109375" style="27" customWidth="1"/>
    <col min="7" max="7" width="9.421875" style="27" bestFit="1" customWidth="1"/>
    <col min="8" max="8" width="9.28125" style="27" customWidth="1"/>
    <col min="9" max="9" width="8.7109375" style="27" customWidth="1"/>
    <col min="10" max="10" width="9.421875" style="27" bestFit="1" customWidth="1"/>
    <col min="11" max="11" width="9.28125" style="27" customWidth="1"/>
    <col min="12" max="12" width="8.7109375" style="27" customWidth="1"/>
    <col min="13" max="13" width="9.421875" style="27" bestFit="1" customWidth="1"/>
  </cols>
  <sheetData>
    <row r="1" ht="12" customHeight="1"/>
    <row r="2" spans="1:13" ht="18.75">
      <c r="A2" s="37" t="s">
        <v>132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</row>
    <row r="3" spans="12:13" ht="9.75" customHeight="1">
      <c r="L3" s="809" t="s">
        <v>128</v>
      </c>
      <c r="M3" s="809"/>
    </row>
    <row r="4" spans="1:13" ht="12" customHeight="1">
      <c r="A4" s="1251" t="s">
        <v>777</v>
      </c>
      <c r="B4" s="1295">
        <v>9</v>
      </c>
      <c r="C4" s="179"/>
      <c r="D4" s="129"/>
      <c r="E4" s="1295">
        <v>10</v>
      </c>
      <c r="F4" s="179"/>
      <c r="G4" s="129"/>
      <c r="H4" s="1295">
        <v>11</v>
      </c>
      <c r="I4" s="179"/>
      <c r="J4" s="129"/>
      <c r="K4" s="1295">
        <v>12</v>
      </c>
      <c r="L4" s="179"/>
      <c r="M4" s="129"/>
    </row>
    <row r="5" spans="1:13" ht="12" customHeight="1">
      <c r="A5" s="1251" t="s">
        <v>463</v>
      </c>
      <c r="B5" s="1251"/>
      <c r="C5" s="180"/>
      <c r="D5" s="181"/>
      <c r="E5" s="1251"/>
      <c r="F5" s="138"/>
      <c r="G5" s="182"/>
      <c r="H5" s="131"/>
      <c r="I5" s="138"/>
      <c r="J5" s="182"/>
      <c r="K5" s="131"/>
      <c r="L5" s="138"/>
      <c r="M5" s="182"/>
    </row>
    <row r="6" spans="1:13" ht="12" customHeight="1">
      <c r="A6" s="1251" t="s">
        <v>778</v>
      </c>
      <c r="B6" s="1295" t="s">
        <v>142</v>
      </c>
      <c r="C6" s="179"/>
      <c r="D6" s="129"/>
      <c r="E6" s="1295" t="s">
        <v>143</v>
      </c>
      <c r="F6" s="179"/>
      <c r="G6" s="129"/>
      <c r="H6" s="1295" t="s">
        <v>144</v>
      </c>
      <c r="I6" s="179"/>
      <c r="J6" s="129"/>
      <c r="K6" s="1295" t="s">
        <v>611</v>
      </c>
      <c r="L6" s="179"/>
      <c r="M6" s="129"/>
    </row>
    <row r="7" spans="1:13" ht="12" customHeight="1">
      <c r="A7" s="1251" t="s">
        <v>781</v>
      </c>
      <c r="B7" s="1295">
        <v>801115</v>
      </c>
      <c r="C7" s="179"/>
      <c r="D7" s="129"/>
      <c r="E7" s="1295">
        <v>801115</v>
      </c>
      <c r="F7" s="179"/>
      <c r="G7" s="129"/>
      <c r="H7" s="1295">
        <v>801115</v>
      </c>
      <c r="I7" s="179"/>
      <c r="J7" s="129"/>
      <c r="K7" s="1295">
        <v>801115</v>
      </c>
      <c r="L7" s="179"/>
      <c r="M7" s="129"/>
    </row>
    <row r="8" spans="1:13" ht="12" customHeight="1">
      <c r="A8" s="1297" t="s">
        <v>782</v>
      </c>
      <c r="B8" s="1298" t="s">
        <v>783</v>
      </c>
      <c r="C8" s="183"/>
      <c r="D8" s="184"/>
      <c r="E8" s="1298"/>
      <c r="F8" s="183"/>
      <c r="G8" s="184"/>
      <c r="H8" s="1298"/>
      <c r="I8" s="183"/>
      <c r="J8" s="184"/>
      <c r="K8" s="1298"/>
      <c r="L8" s="183"/>
      <c r="M8" s="184"/>
    </row>
    <row r="9" spans="1:13" s="187" customFormat="1" ht="31.5">
      <c r="A9" s="1302" t="s">
        <v>784</v>
      </c>
      <c r="B9" s="1299" t="s">
        <v>249</v>
      </c>
      <c r="C9" s="812"/>
      <c r="D9" s="1299"/>
      <c r="E9" s="1299" t="s">
        <v>249</v>
      </c>
      <c r="F9" s="812"/>
      <c r="G9" s="1299"/>
      <c r="H9" s="1299" t="s">
        <v>249</v>
      </c>
      <c r="I9" s="812"/>
      <c r="J9" s="1299"/>
      <c r="K9" s="1299" t="s">
        <v>249</v>
      </c>
      <c r="L9" s="812"/>
      <c r="M9" s="1299"/>
    </row>
    <row r="10" spans="1:13" ht="9.75" customHeight="1">
      <c r="A10" s="329" t="s">
        <v>524</v>
      </c>
      <c r="B10" s="32" t="s">
        <v>525</v>
      </c>
      <c r="C10" s="31" t="s">
        <v>526</v>
      </c>
      <c r="D10" s="31" t="s">
        <v>729</v>
      </c>
      <c r="E10" s="31" t="s">
        <v>730</v>
      </c>
      <c r="F10" s="31" t="s">
        <v>731</v>
      </c>
      <c r="G10" s="31" t="s">
        <v>732</v>
      </c>
      <c r="H10" s="31" t="s">
        <v>733</v>
      </c>
      <c r="I10" s="31" t="s">
        <v>734</v>
      </c>
      <c r="J10" s="31" t="s">
        <v>735</v>
      </c>
      <c r="K10" s="31" t="s">
        <v>736</v>
      </c>
      <c r="L10" s="31" t="s">
        <v>737</v>
      </c>
      <c r="M10" s="31" t="s">
        <v>738</v>
      </c>
    </row>
    <row r="11" spans="1:13" ht="12" customHeight="1">
      <c r="A11" s="353" t="s">
        <v>785</v>
      </c>
      <c r="B11" s="188">
        <v>29</v>
      </c>
      <c r="C11" s="188"/>
      <c r="D11" s="188"/>
      <c r="E11" s="188">
        <v>32</v>
      </c>
      <c r="F11" s="188"/>
      <c r="G11" s="188"/>
      <c r="H11" s="188">
        <v>23</v>
      </c>
      <c r="I11" s="188"/>
      <c r="J11" s="188"/>
      <c r="K11" s="188">
        <v>24</v>
      </c>
      <c r="L11" s="188"/>
      <c r="M11" s="188"/>
    </row>
    <row r="12" spans="1:13" s="189" customFormat="1" ht="12" customHeight="1">
      <c r="A12" s="351" t="s">
        <v>786</v>
      </c>
      <c r="B12" s="66"/>
      <c r="C12" s="66"/>
      <c r="D12" s="188"/>
      <c r="E12" s="66"/>
      <c r="F12" s="66"/>
      <c r="G12" s="188"/>
      <c r="H12" s="66"/>
      <c r="I12" s="66"/>
      <c r="J12" s="188"/>
      <c r="K12" s="66"/>
      <c r="L12" s="66"/>
      <c r="M12" s="188"/>
    </row>
    <row r="13" spans="1:13" ht="12" customHeight="1">
      <c r="A13" s="353" t="s">
        <v>787</v>
      </c>
      <c r="B13" s="65">
        <v>62613</v>
      </c>
      <c r="C13" s="65"/>
      <c r="D13" s="65"/>
      <c r="E13" s="65">
        <v>64908</v>
      </c>
      <c r="F13" s="65"/>
      <c r="G13" s="65"/>
      <c r="H13" s="65">
        <v>44283</v>
      </c>
      <c r="I13" s="65"/>
      <c r="J13" s="65"/>
      <c r="K13" s="65">
        <v>50515</v>
      </c>
      <c r="L13" s="65"/>
      <c r="M13" s="65"/>
    </row>
    <row r="14" spans="1:13" ht="12" customHeight="1">
      <c r="A14" s="353" t="s">
        <v>125</v>
      </c>
      <c r="B14" s="65">
        <v>20239</v>
      </c>
      <c r="C14" s="65"/>
      <c r="D14" s="65"/>
      <c r="E14" s="65">
        <v>20965</v>
      </c>
      <c r="F14" s="65"/>
      <c r="G14" s="65"/>
      <c r="H14" s="65">
        <v>14448</v>
      </c>
      <c r="I14" s="65"/>
      <c r="J14" s="65"/>
      <c r="K14" s="65">
        <v>16320</v>
      </c>
      <c r="L14" s="65"/>
      <c r="M14" s="65"/>
    </row>
    <row r="15" spans="1:13" ht="12" customHeight="1">
      <c r="A15" s="353" t="s">
        <v>126</v>
      </c>
      <c r="B15" s="65">
        <f>'[3]Megadott keretszámos'!$BL$27</f>
        <v>25007</v>
      </c>
      <c r="C15" s="65"/>
      <c r="D15" s="65"/>
      <c r="E15" s="65">
        <f>'[3]Megadott keretszámos'!$BL$28</f>
        <v>25004</v>
      </c>
      <c r="F15" s="65"/>
      <c r="G15" s="65"/>
      <c r="H15" s="65">
        <f>'[3]Megadott keretszámos'!$BL$29</f>
        <v>18286</v>
      </c>
      <c r="I15" s="65"/>
      <c r="J15" s="65"/>
      <c r="K15" s="65">
        <f>'[3]Megadott keretszámos'!$BL$30</f>
        <v>20359</v>
      </c>
      <c r="L15" s="65"/>
      <c r="M15" s="65"/>
    </row>
    <row r="16" spans="1:13" ht="22.5">
      <c r="A16" s="1303" t="s">
        <v>421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ht="12" customHeight="1">
      <c r="A17" s="353" t="s">
        <v>135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13" s="189" customFormat="1" ht="12" customHeight="1">
      <c r="A18" s="351" t="s">
        <v>127</v>
      </c>
      <c r="B18" s="66">
        <f aca="true" t="shared" si="0" ref="B18:M18">SUM(B13:B17)</f>
        <v>107859</v>
      </c>
      <c r="C18" s="66">
        <f t="shared" si="0"/>
        <v>0</v>
      </c>
      <c r="D18" s="66">
        <f t="shared" si="0"/>
        <v>0</v>
      </c>
      <c r="E18" s="66">
        <f t="shared" si="0"/>
        <v>110877</v>
      </c>
      <c r="F18" s="66">
        <f t="shared" si="0"/>
        <v>0</v>
      </c>
      <c r="G18" s="66">
        <f t="shared" si="0"/>
        <v>0</v>
      </c>
      <c r="H18" s="66">
        <f t="shared" si="0"/>
        <v>77017</v>
      </c>
      <c r="I18" s="66">
        <f t="shared" si="0"/>
        <v>0</v>
      </c>
      <c r="J18" s="66">
        <f t="shared" si="0"/>
        <v>0</v>
      </c>
      <c r="K18" s="66">
        <f t="shared" si="0"/>
        <v>87194</v>
      </c>
      <c r="L18" s="66">
        <f t="shared" si="0"/>
        <v>0</v>
      </c>
      <c r="M18" s="66">
        <f t="shared" si="0"/>
        <v>0</v>
      </c>
    </row>
    <row r="19" spans="1:13" ht="12" customHeight="1">
      <c r="A19" s="353" t="s">
        <v>800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3" ht="12" customHeight="1">
      <c r="A20" s="353" t="s">
        <v>801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1:13" ht="24">
      <c r="A21" s="339" t="s">
        <v>799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</row>
    <row r="22" spans="1:13" s="189" customFormat="1" ht="12.75">
      <c r="A22" s="351" t="s">
        <v>719</v>
      </c>
      <c r="B22" s="66">
        <f aca="true" t="shared" si="1" ref="B22:M22">SUM(B19:B21)</f>
        <v>0</v>
      </c>
      <c r="C22" s="66">
        <f t="shared" si="1"/>
        <v>0</v>
      </c>
      <c r="D22" s="66">
        <f t="shared" si="1"/>
        <v>0</v>
      </c>
      <c r="E22" s="66">
        <f t="shared" si="1"/>
        <v>0</v>
      </c>
      <c r="F22" s="66">
        <f t="shared" si="1"/>
        <v>0</v>
      </c>
      <c r="G22" s="66">
        <f t="shared" si="1"/>
        <v>0</v>
      </c>
      <c r="H22" s="66">
        <f t="shared" si="1"/>
        <v>0</v>
      </c>
      <c r="I22" s="66">
        <f t="shared" si="1"/>
        <v>0</v>
      </c>
      <c r="J22" s="66">
        <f t="shared" si="1"/>
        <v>0</v>
      </c>
      <c r="K22" s="66">
        <f t="shared" si="1"/>
        <v>0</v>
      </c>
      <c r="L22" s="66">
        <f t="shared" si="1"/>
        <v>0</v>
      </c>
      <c r="M22" s="66">
        <f t="shared" si="1"/>
        <v>0</v>
      </c>
    </row>
    <row r="23" spans="1:13" s="189" customFormat="1" ht="12.75">
      <c r="A23" s="358" t="s">
        <v>720</v>
      </c>
      <c r="B23" s="66">
        <f aca="true" t="shared" si="2" ref="B23:M23">SUM(B18+B22)</f>
        <v>107859</v>
      </c>
      <c r="C23" s="66">
        <f t="shared" si="2"/>
        <v>0</v>
      </c>
      <c r="D23" s="66">
        <f t="shared" si="2"/>
        <v>0</v>
      </c>
      <c r="E23" s="66">
        <f t="shared" si="2"/>
        <v>110877</v>
      </c>
      <c r="F23" s="66">
        <f t="shared" si="2"/>
        <v>0</v>
      </c>
      <c r="G23" s="66">
        <f t="shared" si="2"/>
        <v>0</v>
      </c>
      <c r="H23" s="66">
        <f t="shared" si="2"/>
        <v>77017</v>
      </c>
      <c r="I23" s="66">
        <f t="shared" si="2"/>
        <v>0</v>
      </c>
      <c r="J23" s="66">
        <f t="shared" si="2"/>
        <v>0</v>
      </c>
      <c r="K23" s="66">
        <f t="shared" si="2"/>
        <v>87194</v>
      </c>
      <c r="L23" s="66">
        <f t="shared" si="2"/>
        <v>0</v>
      </c>
      <c r="M23" s="66">
        <f t="shared" si="2"/>
        <v>0</v>
      </c>
    </row>
    <row r="24" spans="1:13" s="189" customFormat="1" ht="12.75">
      <c r="A24" s="351" t="s">
        <v>721</v>
      </c>
      <c r="B24" s="66"/>
      <c r="C24" s="66"/>
      <c r="D24" s="65"/>
      <c r="E24" s="66"/>
      <c r="F24" s="66"/>
      <c r="G24" s="65"/>
      <c r="H24" s="66"/>
      <c r="I24" s="66"/>
      <c r="J24" s="65"/>
      <c r="K24" s="66"/>
      <c r="L24" s="66"/>
      <c r="M24" s="65"/>
    </row>
    <row r="25" spans="1:13" ht="24">
      <c r="A25" s="339" t="s">
        <v>422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24">
      <c r="A26" s="339" t="s">
        <v>448</v>
      </c>
      <c r="B26" s="65">
        <v>5741</v>
      </c>
      <c r="C26" s="65"/>
      <c r="D26" s="65"/>
      <c r="E26" s="65">
        <f>11+7606</f>
        <v>7617</v>
      </c>
      <c r="F26" s="65"/>
      <c r="G26" s="65"/>
      <c r="H26" s="65">
        <v>5625</v>
      </c>
      <c r="I26" s="65"/>
      <c r="J26" s="65"/>
      <c r="K26" s="65">
        <v>5926</v>
      </c>
      <c r="L26" s="65"/>
      <c r="M26" s="65"/>
    </row>
    <row r="27" spans="1:13" ht="12.75">
      <c r="A27" s="353" t="s">
        <v>449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8" spans="1:13" ht="12.75">
      <c r="A28" s="353" t="s">
        <v>136</v>
      </c>
      <c r="B28" s="65">
        <v>1148</v>
      </c>
      <c r="C28" s="65"/>
      <c r="D28" s="65"/>
      <c r="E28" s="65">
        <v>1522</v>
      </c>
      <c r="F28" s="65"/>
      <c r="G28" s="65"/>
      <c r="H28" s="65">
        <v>1125</v>
      </c>
      <c r="I28" s="65"/>
      <c r="J28" s="65"/>
      <c r="K28" s="65">
        <v>1185</v>
      </c>
      <c r="L28" s="65"/>
      <c r="M28" s="65"/>
    </row>
    <row r="29" spans="1:13" ht="12.75">
      <c r="A29" s="353" t="s">
        <v>137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3" ht="20.25" customHeight="1">
      <c r="A30" s="1303" t="s">
        <v>794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</row>
    <row r="31" spans="1:13" ht="22.5">
      <c r="A31" s="1304" t="s">
        <v>795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</row>
    <row r="32" spans="1:13" ht="12.75">
      <c r="A32" s="353" t="s">
        <v>796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3" ht="12.75">
      <c r="A33" s="353" t="s">
        <v>797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</row>
    <row r="34" spans="1:13" ht="12" customHeight="1">
      <c r="A34" s="353" t="s">
        <v>798</v>
      </c>
      <c r="B34" s="65">
        <f aca="true" t="shared" si="3" ref="B34:M34">+B23-B25-B26-B27-B28-B30-B31-B32-B33-B29</f>
        <v>100970</v>
      </c>
      <c r="C34" s="65">
        <f t="shared" si="3"/>
        <v>0</v>
      </c>
      <c r="D34" s="65">
        <f t="shared" si="3"/>
        <v>0</v>
      </c>
      <c r="E34" s="65">
        <f t="shared" si="3"/>
        <v>101738</v>
      </c>
      <c r="F34" s="65">
        <f t="shared" si="3"/>
        <v>0</v>
      </c>
      <c r="G34" s="65">
        <f t="shared" si="3"/>
        <v>0</v>
      </c>
      <c r="H34" s="65">
        <f t="shared" si="3"/>
        <v>70267</v>
      </c>
      <c r="I34" s="65">
        <f t="shared" si="3"/>
        <v>0</v>
      </c>
      <c r="J34" s="65">
        <f t="shared" si="3"/>
        <v>0</v>
      </c>
      <c r="K34" s="65">
        <f t="shared" si="3"/>
        <v>80083</v>
      </c>
      <c r="L34" s="65">
        <f t="shared" si="3"/>
        <v>0</v>
      </c>
      <c r="M34" s="65">
        <f t="shared" si="3"/>
        <v>0</v>
      </c>
    </row>
    <row r="35" spans="1:13" ht="12" customHeight="1">
      <c r="A35" s="1300" t="s">
        <v>197</v>
      </c>
      <c r="B35" s="65">
        <v>38722</v>
      </c>
      <c r="C35" s="65"/>
      <c r="D35" s="65"/>
      <c r="E35" s="65">
        <v>41831</v>
      </c>
      <c r="F35" s="65"/>
      <c r="G35" s="65"/>
      <c r="H35" s="65">
        <v>38226</v>
      </c>
      <c r="I35" s="65"/>
      <c r="J35" s="65"/>
      <c r="K35" s="65">
        <v>32164</v>
      </c>
      <c r="L35" s="65"/>
      <c r="M35" s="65"/>
    </row>
    <row r="36" spans="1:13" ht="12" customHeight="1">
      <c r="A36" s="1301" t="s">
        <v>398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spans="1:13" s="189" customFormat="1" ht="11.25" customHeight="1">
      <c r="A37" s="358" t="s">
        <v>722</v>
      </c>
      <c r="B37" s="66">
        <f aca="true" t="shared" si="4" ref="B37:M37">SUM(B25:B34)</f>
        <v>107859</v>
      </c>
      <c r="C37" s="66">
        <f t="shared" si="4"/>
        <v>0</v>
      </c>
      <c r="D37" s="66">
        <f t="shared" si="4"/>
        <v>0</v>
      </c>
      <c r="E37" s="66">
        <f t="shared" si="4"/>
        <v>110877</v>
      </c>
      <c r="F37" s="66">
        <f t="shared" si="4"/>
        <v>0</v>
      </c>
      <c r="G37" s="66">
        <f t="shared" si="4"/>
        <v>0</v>
      </c>
      <c r="H37" s="66">
        <f t="shared" si="4"/>
        <v>77017</v>
      </c>
      <c r="I37" s="66">
        <f t="shared" si="4"/>
        <v>0</v>
      </c>
      <c r="J37" s="66">
        <f t="shared" si="4"/>
        <v>0</v>
      </c>
      <c r="K37" s="66">
        <f t="shared" si="4"/>
        <v>87194</v>
      </c>
      <c r="L37" s="66">
        <f t="shared" si="4"/>
        <v>0</v>
      </c>
      <c r="M37" s="66">
        <f t="shared" si="4"/>
        <v>0</v>
      </c>
    </row>
    <row r="39" spans="2:11" ht="12.75">
      <c r="B39" s="134"/>
      <c r="E39" s="134"/>
      <c r="H39" s="134"/>
      <c r="K39" s="134"/>
    </row>
  </sheetData>
  <printOptions horizontalCentered="1"/>
  <pageMargins left="0.3937007874015748" right="0.3937007874015748" top="0.31496062992125984" bottom="0.5118110236220472" header="0.31496062992125984" footer="0"/>
  <pageSetup horizontalDpi="300" verticalDpi="300" orientation="landscape" paperSize="9" r:id="rId1"/>
  <headerFooter alignWithMargins="0">
    <oddHeader>&amp;C&amp;"Times New Roman,Normál"&amp;8 3&amp;R&amp;"Times New Roman,Normál"6/a. számú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A1">
      <pane xSplit="1" ySplit="8" topLeftCell="F33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M35" sqref="M35"/>
    </sheetView>
  </sheetViews>
  <sheetFormatPr defaultColWidth="9.140625" defaultRowHeight="12.75"/>
  <cols>
    <col min="1" max="1" width="28.8515625" style="27" customWidth="1"/>
    <col min="2" max="2" width="9.28125" style="27" customWidth="1"/>
    <col min="3" max="3" width="8.7109375" style="27" customWidth="1"/>
    <col min="4" max="4" width="9.421875" style="27" bestFit="1" customWidth="1"/>
    <col min="5" max="5" width="9.28125" style="27" customWidth="1"/>
    <col min="6" max="6" width="8.7109375" style="27" customWidth="1"/>
    <col min="7" max="7" width="9.421875" style="27" bestFit="1" customWidth="1"/>
    <col min="8" max="8" width="9.28125" style="27" customWidth="1"/>
    <col min="9" max="9" width="8.7109375" style="27" customWidth="1"/>
    <col min="10" max="10" width="9.421875" style="27" bestFit="1" customWidth="1"/>
    <col min="11" max="11" width="9.28125" style="27" customWidth="1"/>
    <col min="12" max="12" width="8.7109375" style="27" customWidth="1"/>
    <col min="13" max="13" width="9.421875" style="27" bestFit="1" customWidth="1"/>
  </cols>
  <sheetData>
    <row r="1" ht="12" customHeight="1"/>
    <row r="2" spans="1:13" ht="18.75">
      <c r="A2" s="37" t="s">
        <v>132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</row>
    <row r="3" spans="12:13" ht="9.75" customHeight="1">
      <c r="L3" s="809" t="s">
        <v>128</v>
      </c>
      <c r="M3" s="809"/>
    </row>
    <row r="4" spans="1:13" ht="12" customHeight="1">
      <c r="A4" s="1251" t="s">
        <v>777</v>
      </c>
      <c r="B4" s="1295">
        <v>13</v>
      </c>
      <c r="C4" s="179"/>
      <c r="D4" s="129"/>
      <c r="E4" s="1295">
        <v>14</v>
      </c>
      <c r="F4" s="179"/>
      <c r="G4" s="129"/>
      <c r="H4" s="1295">
        <v>15</v>
      </c>
      <c r="I4" s="179"/>
      <c r="J4" s="129"/>
      <c r="K4" s="1295">
        <v>16</v>
      </c>
      <c r="L4" s="179"/>
      <c r="M4" s="129"/>
    </row>
    <row r="5" spans="1:13" ht="12" customHeight="1">
      <c r="A5" s="1251" t="s">
        <v>463</v>
      </c>
      <c r="B5" s="1251"/>
      <c r="C5" s="180"/>
      <c r="D5" s="181"/>
      <c r="E5" s="1251"/>
      <c r="F5" s="138"/>
      <c r="G5" s="182"/>
      <c r="H5" s="131"/>
      <c r="I5" s="138"/>
      <c r="J5" s="182"/>
      <c r="K5" s="131"/>
      <c r="L5" s="138"/>
      <c r="M5" s="182"/>
    </row>
    <row r="6" spans="1:13" ht="12" customHeight="1">
      <c r="A6" s="1251" t="s">
        <v>778</v>
      </c>
      <c r="B6" s="1295" t="s">
        <v>145</v>
      </c>
      <c r="C6" s="179"/>
      <c r="D6" s="129"/>
      <c r="E6" s="1295" t="s">
        <v>146</v>
      </c>
      <c r="F6" s="179"/>
      <c r="G6" s="129"/>
      <c r="H6" s="1295" t="s">
        <v>147</v>
      </c>
      <c r="I6" s="179"/>
      <c r="J6" s="129"/>
      <c r="K6" s="1295" t="s">
        <v>148</v>
      </c>
      <c r="L6" s="179"/>
      <c r="M6" s="129"/>
    </row>
    <row r="7" spans="1:13" ht="12" customHeight="1">
      <c r="A7" s="1251" t="s">
        <v>781</v>
      </c>
      <c r="B7" s="1295">
        <v>801115</v>
      </c>
      <c r="C7" s="179"/>
      <c r="D7" s="129"/>
      <c r="E7" s="1295">
        <v>801115</v>
      </c>
      <c r="F7" s="179"/>
      <c r="G7" s="129"/>
      <c r="H7" s="1295">
        <v>801115</v>
      </c>
      <c r="I7" s="179"/>
      <c r="J7" s="129"/>
      <c r="K7" s="1295">
        <v>801115</v>
      </c>
      <c r="L7" s="179"/>
      <c r="M7" s="129"/>
    </row>
    <row r="8" spans="1:13" ht="12" customHeight="1">
      <c r="A8" s="1297" t="s">
        <v>782</v>
      </c>
      <c r="B8" s="1298" t="s">
        <v>783</v>
      </c>
      <c r="C8" s="183"/>
      <c r="D8" s="184"/>
      <c r="E8" s="1298"/>
      <c r="F8" s="183"/>
      <c r="G8" s="184"/>
      <c r="H8" s="1298"/>
      <c r="I8" s="183"/>
      <c r="J8" s="184"/>
      <c r="K8" s="1298"/>
      <c r="L8" s="183"/>
      <c r="M8" s="184"/>
    </row>
    <row r="9" spans="1:13" s="187" customFormat="1" ht="31.5">
      <c r="A9" s="1302" t="s">
        <v>784</v>
      </c>
      <c r="B9" s="1299" t="s">
        <v>249</v>
      </c>
      <c r="C9" s="812"/>
      <c r="D9" s="1299"/>
      <c r="E9" s="1299" t="s">
        <v>249</v>
      </c>
      <c r="F9" s="812"/>
      <c r="G9" s="1299"/>
      <c r="H9" s="1299" t="s">
        <v>249</v>
      </c>
      <c r="I9" s="812"/>
      <c r="J9" s="1299"/>
      <c r="K9" s="1299" t="s">
        <v>249</v>
      </c>
      <c r="L9" s="812"/>
      <c r="M9" s="1299"/>
    </row>
    <row r="10" spans="1:13" ht="9.75" customHeight="1">
      <c r="A10" s="329" t="s">
        <v>524</v>
      </c>
      <c r="B10" s="32" t="s">
        <v>525</v>
      </c>
      <c r="C10" s="31" t="s">
        <v>526</v>
      </c>
      <c r="D10" s="31" t="s">
        <v>729</v>
      </c>
      <c r="E10" s="31" t="s">
        <v>730</v>
      </c>
      <c r="F10" s="31" t="s">
        <v>731</v>
      </c>
      <c r="G10" s="31" t="s">
        <v>732</v>
      </c>
      <c r="H10" s="31" t="s">
        <v>733</v>
      </c>
      <c r="I10" s="31" t="s">
        <v>734</v>
      </c>
      <c r="J10" s="31" t="s">
        <v>735</v>
      </c>
      <c r="K10" s="31" t="s">
        <v>736</v>
      </c>
      <c r="L10" s="31" t="s">
        <v>737</v>
      </c>
      <c r="M10" s="31" t="s">
        <v>738</v>
      </c>
    </row>
    <row r="11" spans="1:13" ht="12" customHeight="1">
      <c r="A11" s="353" t="s">
        <v>785</v>
      </c>
      <c r="B11" s="188">
        <v>20.5</v>
      </c>
      <c r="C11" s="188"/>
      <c r="D11" s="188"/>
      <c r="E11" s="188">
        <v>20</v>
      </c>
      <c r="F11" s="188"/>
      <c r="G11" s="188"/>
      <c r="H11" s="188">
        <v>19.5</v>
      </c>
      <c r="I11" s="188"/>
      <c r="J11" s="188"/>
      <c r="K11" s="188">
        <v>23</v>
      </c>
      <c r="L11" s="188"/>
      <c r="M11" s="188"/>
    </row>
    <row r="12" spans="1:13" s="189" customFormat="1" ht="12" customHeight="1">
      <c r="A12" s="351" t="s">
        <v>786</v>
      </c>
      <c r="B12" s="66"/>
      <c r="C12" s="66"/>
      <c r="D12" s="188"/>
      <c r="E12" s="66"/>
      <c r="F12" s="66"/>
      <c r="G12" s="188"/>
      <c r="H12" s="66"/>
      <c r="I12" s="66"/>
      <c r="J12" s="188"/>
      <c r="K12" s="66"/>
      <c r="L12" s="66"/>
      <c r="M12" s="188"/>
    </row>
    <row r="13" spans="1:13" ht="12" customHeight="1">
      <c r="A13" s="353" t="s">
        <v>787</v>
      </c>
      <c r="B13" s="65">
        <v>46617</v>
      </c>
      <c r="C13" s="65"/>
      <c r="D13" s="65"/>
      <c r="E13" s="65">
        <v>44776</v>
      </c>
      <c r="F13" s="65"/>
      <c r="G13" s="65"/>
      <c r="H13" s="65">
        <v>45290</v>
      </c>
      <c r="I13" s="65"/>
      <c r="J13" s="65"/>
      <c r="K13" s="65">
        <v>48723</v>
      </c>
      <c r="L13" s="65"/>
      <c r="M13" s="65"/>
    </row>
    <row r="14" spans="1:13" ht="12" customHeight="1">
      <c r="A14" s="353" t="s">
        <v>125</v>
      </c>
      <c r="B14" s="65">
        <v>14933</v>
      </c>
      <c r="C14" s="65"/>
      <c r="D14" s="65"/>
      <c r="E14" s="65">
        <v>14624</v>
      </c>
      <c r="F14" s="65"/>
      <c r="G14" s="65"/>
      <c r="H14" s="65">
        <v>14543</v>
      </c>
      <c r="I14" s="65"/>
      <c r="J14" s="65"/>
      <c r="K14" s="65">
        <v>15818</v>
      </c>
      <c r="L14" s="65"/>
      <c r="M14" s="65"/>
    </row>
    <row r="15" spans="1:13" ht="12" customHeight="1">
      <c r="A15" s="353" t="s">
        <v>126</v>
      </c>
      <c r="B15" s="65">
        <f>'[3]Megadott keretszámos'!$BL$31</f>
        <v>15505</v>
      </c>
      <c r="C15" s="65"/>
      <c r="D15" s="65"/>
      <c r="E15" s="65">
        <f>'[3]Megadott keretszámos'!$BL$32</f>
        <v>10575</v>
      </c>
      <c r="F15" s="65"/>
      <c r="G15" s="65"/>
      <c r="H15" s="65">
        <f>'[3]Megadott keretszámos'!$BL$33</f>
        <v>18332</v>
      </c>
      <c r="I15" s="65"/>
      <c r="J15" s="65"/>
      <c r="K15" s="65">
        <f>'[3]Megadott keretszámos'!$BL$34</f>
        <v>21604</v>
      </c>
      <c r="L15" s="65"/>
      <c r="M15" s="65"/>
    </row>
    <row r="16" spans="1:13" ht="22.5">
      <c r="A16" s="1303" t="s">
        <v>421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ht="12" customHeight="1">
      <c r="A17" s="353" t="s">
        <v>135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13" s="189" customFormat="1" ht="12" customHeight="1">
      <c r="A18" s="351" t="s">
        <v>127</v>
      </c>
      <c r="B18" s="66">
        <f aca="true" t="shared" si="0" ref="B18:M18">SUM(B13:B17)</f>
        <v>77055</v>
      </c>
      <c r="C18" s="66">
        <f t="shared" si="0"/>
        <v>0</v>
      </c>
      <c r="D18" s="66">
        <f t="shared" si="0"/>
        <v>0</v>
      </c>
      <c r="E18" s="66">
        <f t="shared" si="0"/>
        <v>69975</v>
      </c>
      <c r="F18" s="66">
        <f t="shared" si="0"/>
        <v>0</v>
      </c>
      <c r="G18" s="66">
        <f t="shared" si="0"/>
        <v>0</v>
      </c>
      <c r="H18" s="66">
        <f t="shared" si="0"/>
        <v>78165</v>
      </c>
      <c r="I18" s="66">
        <f t="shared" si="0"/>
        <v>0</v>
      </c>
      <c r="J18" s="66">
        <f t="shared" si="0"/>
        <v>0</v>
      </c>
      <c r="K18" s="66">
        <f t="shared" si="0"/>
        <v>86145</v>
      </c>
      <c r="L18" s="66">
        <f t="shared" si="0"/>
        <v>0</v>
      </c>
      <c r="M18" s="66">
        <f t="shared" si="0"/>
        <v>0</v>
      </c>
    </row>
    <row r="19" spans="1:13" ht="12" customHeight="1">
      <c r="A19" s="353" t="s">
        <v>800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3" ht="12" customHeight="1">
      <c r="A20" s="353" t="s">
        <v>801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1:13" ht="24">
      <c r="A21" s="339" t="s">
        <v>799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</row>
    <row r="22" spans="1:13" s="189" customFormat="1" ht="12.75">
      <c r="A22" s="351" t="s">
        <v>719</v>
      </c>
      <c r="B22" s="66">
        <f aca="true" t="shared" si="1" ref="B22:M22">SUM(B19:B21)</f>
        <v>0</v>
      </c>
      <c r="C22" s="66">
        <f t="shared" si="1"/>
        <v>0</v>
      </c>
      <c r="D22" s="66">
        <f t="shared" si="1"/>
        <v>0</v>
      </c>
      <c r="E22" s="66">
        <f t="shared" si="1"/>
        <v>0</v>
      </c>
      <c r="F22" s="66">
        <f t="shared" si="1"/>
        <v>0</v>
      </c>
      <c r="G22" s="66">
        <f t="shared" si="1"/>
        <v>0</v>
      </c>
      <c r="H22" s="66">
        <f t="shared" si="1"/>
        <v>0</v>
      </c>
      <c r="I22" s="66">
        <f t="shared" si="1"/>
        <v>0</v>
      </c>
      <c r="J22" s="66">
        <f t="shared" si="1"/>
        <v>0</v>
      </c>
      <c r="K22" s="66">
        <f t="shared" si="1"/>
        <v>0</v>
      </c>
      <c r="L22" s="66">
        <f t="shared" si="1"/>
        <v>0</v>
      </c>
      <c r="M22" s="66">
        <f t="shared" si="1"/>
        <v>0</v>
      </c>
    </row>
    <row r="23" spans="1:13" s="189" customFormat="1" ht="12.75">
      <c r="A23" s="358" t="s">
        <v>720</v>
      </c>
      <c r="B23" s="66">
        <f aca="true" t="shared" si="2" ref="B23:M23">SUM(B18+B22)</f>
        <v>77055</v>
      </c>
      <c r="C23" s="66">
        <f t="shared" si="2"/>
        <v>0</v>
      </c>
      <c r="D23" s="66">
        <f t="shared" si="2"/>
        <v>0</v>
      </c>
      <c r="E23" s="66">
        <f t="shared" si="2"/>
        <v>69975</v>
      </c>
      <c r="F23" s="66">
        <f t="shared" si="2"/>
        <v>0</v>
      </c>
      <c r="G23" s="66">
        <f t="shared" si="2"/>
        <v>0</v>
      </c>
      <c r="H23" s="66">
        <f t="shared" si="2"/>
        <v>78165</v>
      </c>
      <c r="I23" s="66">
        <f t="shared" si="2"/>
        <v>0</v>
      </c>
      <c r="J23" s="66">
        <f t="shared" si="2"/>
        <v>0</v>
      </c>
      <c r="K23" s="66">
        <f t="shared" si="2"/>
        <v>86145</v>
      </c>
      <c r="L23" s="66">
        <f t="shared" si="2"/>
        <v>0</v>
      </c>
      <c r="M23" s="66">
        <f t="shared" si="2"/>
        <v>0</v>
      </c>
    </row>
    <row r="24" spans="1:13" s="189" customFormat="1" ht="12.75">
      <c r="A24" s="351" t="s">
        <v>721</v>
      </c>
      <c r="B24" s="66"/>
      <c r="C24" s="66"/>
      <c r="D24" s="65"/>
      <c r="E24" s="66"/>
      <c r="F24" s="66"/>
      <c r="G24" s="65"/>
      <c r="H24" s="66"/>
      <c r="I24" s="66"/>
      <c r="J24" s="65"/>
      <c r="K24" s="66"/>
      <c r="L24" s="66"/>
      <c r="M24" s="65"/>
    </row>
    <row r="25" spans="1:13" ht="24">
      <c r="A25" s="339" t="s">
        <v>422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24">
      <c r="A26" s="339" t="s">
        <v>448</v>
      </c>
      <c r="B26" s="65">
        <v>3613</v>
      </c>
      <c r="C26" s="65"/>
      <c r="D26" s="65"/>
      <c r="E26" s="65">
        <f>77+3167</f>
        <v>3244</v>
      </c>
      <c r="F26" s="65"/>
      <c r="G26" s="65"/>
      <c r="H26" s="65">
        <f>76+4814</f>
        <v>4890</v>
      </c>
      <c r="I26" s="65"/>
      <c r="J26" s="65"/>
      <c r="K26" s="65">
        <v>6158</v>
      </c>
      <c r="L26" s="65"/>
      <c r="M26" s="65"/>
    </row>
    <row r="27" spans="1:13" ht="12.75">
      <c r="A27" s="353" t="s">
        <v>449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8" spans="1:13" ht="12.75">
      <c r="A28" s="353" t="s">
        <v>136</v>
      </c>
      <c r="B28" s="65">
        <v>722</v>
      </c>
      <c r="C28" s="65"/>
      <c r="D28" s="65"/>
      <c r="E28" s="65">
        <v>633</v>
      </c>
      <c r="F28" s="65"/>
      <c r="G28" s="65"/>
      <c r="H28" s="65">
        <v>963</v>
      </c>
      <c r="I28" s="65"/>
      <c r="J28" s="65"/>
      <c r="K28" s="65">
        <v>1232</v>
      </c>
      <c r="L28" s="65"/>
      <c r="M28" s="65"/>
    </row>
    <row r="29" spans="1:13" ht="12.75">
      <c r="A29" s="353" t="s">
        <v>137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3" ht="22.5">
      <c r="A30" s="1303" t="s">
        <v>794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</row>
    <row r="31" spans="1:13" ht="22.5">
      <c r="A31" s="1304" t="s">
        <v>795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</row>
    <row r="32" spans="1:13" ht="12.75">
      <c r="A32" s="353" t="s">
        <v>796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3" ht="12.75">
      <c r="A33" s="353" t="s">
        <v>797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</row>
    <row r="34" spans="1:13" ht="12.75">
      <c r="A34" s="353" t="s">
        <v>798</v>
      </c>
      <c r="B34" s="65">
        <f aca="true" t="shared" si="3" ref="B34:M34">+B23-B25-B26-B27-B28-B30-B31-B32-B33-B29</f>
        <v>72720</v>
      </c>
      <c r="C34" s="65">
        <f t="shared" si="3"/>
        <v>0</v>
      </c>
      <c r="D34" s="65">
        <f t="shared" si="3"/>
        <v>0</v>
      </c>
      <c r="E34" s="65">
        <f t="shared" si="3"/>
        <v>66098</v>
      </c>
      <c r="F34" s="65">
        <f t="shared" si="3"/>
        <v>0</v>
      </c>
      <c r="G34" s="65">
        <f t="shared" si="3"/>
        <v>0</v>
      </c>
      <c r="H34" s="65">
        <f t="shared" si="3"/>
        <v>72312</v>
      </c>
      <c r="I34" s="65">
        <f t="shared" si="3"/>
        <v>0</v>
      </c>
      <c r="J34" s="65">
        <f t="shared" si="3"/>
        <v>0</v>
      </c>
      <c r="K34" s="65">
        <f t="shared" si="3"/>
        <v>78755</v>
      </c>
      <c r="L34" s="65">
        <f t="shared" si="3"/>
        <v>0</v>
      </c>
      <c r="M34" s="65">
        <f t="shared" si="3"/>
        <v>0</v>
      </c>
    </row>
    <row r="35" spans="1:13" ht="12.75">
      <c r="A35" s="1300" t="s">
        <v>197</v>
      </c>
      <c r="B35" s="65">
        <v>26294</v>
      </c>
      <c r="C35" s="65"/>
      <c r="D35" s="65"/>
      <c r="E35" s="65">
        <v>19529</v>
      </c>
      <c r="F35" s="65"/>
      <c r="G35" s="65"/>
      <c r="H35" s="65">
        <v>25218</v>
      </c>
      <c r="I35" s="65"/>
      <c r="J35" s="65"/>
      <c r="K35" s="65">
        <v>33111</v>
      </c>
      <c r="L35" s="65"/>
      <c r="M35" s="65"/>
    </row>
    <row r="36" spans="1:13" ht="12" customHeight="1">
      <c r="A36" s="1301" t="s">
        <v>398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spans="1:13" s="189" customFormat="1" ht="11.25" customHeight="1">
      <c r="A37" s="358" t="s">
        <v>722</v>
      </c>
      <c r="B37" s="66">
        <f aca="true" t="shared" si="4" ref="B37:M37">SUM(B25:B34)</f>
        <v>77055</v>
      </c>
      <c r="C37" s="66">
        <f t="shared" si="4"/>
        <v>0</v>
      </c>
      <c r="D37" s="66">
        <f t="shared" si="4"/>
        <v>0</v>
      </c>
      <c r="E37" s="66">
        <f t="shared" si="4"/>
        <v>69975</v>
      </c>
      <c r="F37" s="66">
        <f t="shared" si="4"/>
        <v>0</v>
      </c>
      <c r="G37" s="66">
        <f t="shared" si="4"/>
        <v>0</v>
      </c>
      <c r="H37" s="66">
        <f t="shared" si="4"/>
        <v>78165</v>
      </c>
      <c r="I37" s="66">
        <f t="shared" si="4"/>
        <v>0</v>
      </c>
      <c r="J37" s="66">
        <f t="shared" si="4"/>
        <v>0</v>
      </c>
      <c r="K37" s="66">
        <f t="shared" si="4"/>
        <v>86145</v>
      </c>
      <c r="L37" s="66">
        <f t="shared" si="4"/>
        <v>0</v>
      </c>
      <c r="M37" s="66">
        <f t="shared" si="4"/>
        <v>0</v>
      </c>
    </row>
    <row r="39" spans="2:11" ht="12.75">
      <c r="B39" s="134"/>
      <c r="C39" s="134"/>
      <c r="E39" s="134"/>
      <c r="H39" s="134"/>
      <c r="K39" s="134"/>
    </row>
  </sheetData>
  <printOptions horizontalCentered="1"/>
  <pageMargins left="0.3937007874015748" right="0.3937007874015748" top="0.31496062992125984" bottom="0.5118110236220472" header="0.31496062992125984" footer="0"/>
  <pageSetup horizontalDpi="300" verticalDpi="300" orientation="landscape" paperSize="9" r:id="rId1"/>
  <headerFooter alignWithMargins="0">
    <oddHeader>&amp;C&amp;"Times New Roman,Normál"&amp;8 4 &amp;R&amp;"Times New Roman,Normál"6/a. számú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D28">
      <selection activeCell="N35" sqref="N35"/>
    </sheetView>
  </sheetViews>
  <sheetFormatPr defaultColWidth="9.140625" defaultRowHeight="12.75"/>
  <cols>
    <col min="1" max="1" width="28.8515625" style="27" customWidth="1"/>
    <col min="2" max="2" width="9.28125" style="27" customWidth="1"/>
    <col min="3" max="3" width="8.7109375" style="27" customWidth="1"/>
    <col min="4" max="4" width="9.421875" style="27" bestFit="1" customWidth="1"/>
    <col min="5" max="5" width="9.28125" style="27" customWidth="1"/>
    <col min="6" max="6" width="8.7109375" style="27" customWidth="1"/>
    <col min="7" max="7" width="9.421875" style="27" bestFit="1" customWidth="1"/>
    <col min="8" max="8" width="9.28125" style="27" customWidth="1"/>
    <col min="9" max="9" width="8.7109375" style="27" customWidth="1"/>
    <col min="10" max="10" width="9.421875" style="27" bestFit="1" customWidth="1"/>
    <col min="11" max="11" width="9.28125" style="27" customWidth="1"/>
    <col min="12" max="12" width="8.7109375" style="27" customWidth="1"/>
    <col min="13" max="13" width="9.421875" style="27" bestFit="1" customWidth="1"/>
  </cols>
  <sheetData>
    <row r="1" ht="12" customHeight="1"/>
    <row r="2" spans="1:13" ht="18.75">
      <c r="A2" s="37" t="s">
        <v>132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</row>
    <row r="3" spans="12:13" ht="9.75" customHeight="1">
      <c r="L3" s="809" t="s">
        <v>128</v>
      </c>
      <c r="M3" s="809"/>
    </row>
    <row r="4" spans="1:13" ht="12" customHeight="1">
      <c r="A4" s="1251" t="s">
        <v>777</v>
      </c>
      <c r="B4" s="1295">
        <v>17</v>
      </c>
      <c r="C4" s="179"/>
      <c r="D4" s="129"/>
      <c r="E4" s="1295">
        <v>18</v>
      </c>
      <c r="F4" s="179"/>
      <c r="G4" s="129"/>
      <c r="H4" s="1295">
        <v>19</v>
      </c>
      <c r="I4" s="179"/>
      <c r="J4" s="129"/>
      <c r="K4" s="1295">
        <v>20</v>
      </c>
      <c r="L4" s="179"/>
      <c r="M4" s="129"/>
    </row>
    <row r="5" spans="1:13" ht="12" customHeight="1">
      <c r="A5" s="1251" t="s">
        <v>463</v>
      </c>
      <c r="B5" s="1251"/>
      <c r="C5" s="180"/>
      <c r="D5" s="181"/>
      <c r="E5" s="1251"/>
      <c r="F5" s="138"/>
      <c r="G5" s="182"/>
      <c r="H5" s="131"/>
      <c r="I5" s="138"/>
      <c r="J5" s="182"/>
      <c r="K5" s="131"/>
      <c r="L5" s="138"/>
      <c r="M5" s="182"/>
    </row>
    <row r="6" spans="1:13" ht="12" customHeight="1">
      <c r="A6" s="1251" t="s">
        <v>778</v>
      </c>
      <c r="B6" s="1295" t="s">
        <v>149</v>
      </c>
      <c r="C6" s="179"/>
      <c r="D6" s="129"/>
      <c r="E6" s="1295" t="s">
        <v>150</v>
      </c>
      <c r="F6" s="179"/>
      <c r="G6" s="129"/>
      <c r="H6" s="1295" t="s">
        <v>151</v>
      </c>
      <c r="I6" s="179"/>
      <c r="J6" s="129"/>
      <c r="K6" s="1295" t="s">
        <v>152</v>
      </c>
      <c r="L6" s="179"/>
      <c r="M6" s="129"/>
    </row>
    <row r="7" spans="1:13" ht="12" customHeight="1">
      <c r="A7" s="1251" t="s">
        <v>781</v>
      </c>
      <c r="B7" s="1295">
        <v>801115</v>
      </c>
      <c r="C7" s="179"/>
      <c r="D7" s="129"/>
      <c r="E7" s="1295">
        <v>801115</v>
      </c>
      <c r="F7" s="179"/>
      <c r="G7" s="129"/>
      <c r="H7" s="1295">
        <v>801115</v>
      </c>
      <c r="I7" s="179"/>
      <c r="J7" s="129"/>
      <c r="K7" s="1295">
        <v>801115</v>
      </c>
      <c r="L7" s="179"/>
      <c r="M7" s="129"/>
    </row>
    <row r="8" spans="1:13" ht="12" customHeight="1">
      <c r="A8" s="1297" t="s">
        <v>782</v>
      </c>
      <c r="B8" s="1298" t="s">
        <v>783</v>
      </c>
      <c r="C8" s="183"/>
      <c r="D8" s="184"/>
      <c r="E8" s="1298"/>
      <c r="F8" s="183"/>
      <c r="G8" s="184"/>
      <c r="H8" s="1298"/>
      <c r="I8" s="183"/>
      <c r="J8" s="184"/>
      <c r="K8" s="1298"/>
      <c r="L8" s="183"/>
      <c r="M8" s="184"/>
    </row>
    <row r="9" spans="1:13" s="187" customFormat="1" ht="31.5">
      <c r="A9" s="1302" t="s">
        <v>784</v>
      </c>
      <c r="B9" s="1299" t="s">
        <v>249</v>
      </c>
      <c r="C9" s="812"/>
      <c r="D9" s="1299"/>
      <c r="E9" s="1299" t="s">
        <v>249</v>
      </c>
      <c r="F9" s="812"/>
      <c r="G9" s="1299"/>
      <c r="H9" s="1299" t="s">
        <v>249</v>
      </c>
      <c r="I9" s="812"/>
      <c r="J9" s="1299"/>
      <c r="K9" s="1299" t="s">
        <v>249</v>
      </c>
      <c r="L9" s="812"/>
      <c r="M9" s="1299"/>
    </row>
    <row r="10" spans="1:13" ht="9.75" customHeight="1">
      <c r="A10" s="329" t="s">
        <v>524</v>
      </c>
      <c r="B10" s="32" t="s">
        <v>525</v>
      </c>
      <c r="C10" s="31" t="s">
        <v>526</v>
      </c>
      <c r="D10" s="31" t="s">
        <v>729</v>
      </c>
      <c r="E10" s="31" t="s">
        <v>730</v>
      </c>
      <c r="F10" s="31" t="s">
        <v>731</v>
      </c>
      <c r="G10" s="31" t="s">
        <v>732</v>
      </c>
      <c r="H10" s="31" t="s">
        <v>733</v>
      </c>
      <c r="I10" s="31" t="s">
        <v>734</v>
      </c>
      <c r="J10" s="31" t="s">
        <v>735</v>
      </c>
      <c r="K10" s="31" t="s">
        <v>736</v>
      </c>
      <c r="L10" s="31" t="s">
        <v>737</v>
      </c>
      <c r="M10" s="31" t="s">
        <v>738</v>
      </c>
    </row>
    <row r="11" spans="1:13" ht="12" customHeight="1">
      <c r="A11" s="353" t="s">
        <v>785</v>
      </c>
      <c r="B11" s="188">
        <v>37</v>
      </c>
      <c r="C11" s="188"/>
      <c r="D11" s="188"/>
      <c r="E11" s="188">
        <v>22.5</v>
      </c>
      <c r="F11" s="188"/>
      <c r="G11" s="188"/>
      <c r="H11" s="188">
        <v>16.5</v>
      </c>
      <c r="I11" s="188"/>
      <c r="J11" s="188"/>
      <c r="K11" s="188">
        <v>42.5</v>
      </c>
      <c r="L11" s="188"/>
      <c r="M11" s="188"/>
    </row>
    <row r="12" spans="1:13" s="189" customFormat="1" ht="12" customHeight="1">
      <c r="A12" s="351" t="s">
        <v>786</v>
      </c>
      <c r="B12" s="66"/>
      <c r="C12" s="66"/>
      <c r="D12" s="188"/>
      <c r="E12" s="66"/>
      <c r="F12" s="66"/>
      <c r="G12" s="188"/>
      <c r="H12" s="66"/>
      <c r="I12" s="66"/>
      <c r="J12" s="188"/>
      <c r="K12" s="66"/>
      <c r="L12" s="66"/>
      <c r="M12" s="188"/>
    </row>
    <row r="13" spans="1:13" ht="12" customHeight="1">
      <c r="A13" s="353" t="s">
        <v>787</v>
      </c>
      <c r="B13" s="65">
        <v>82369</v>
      </c>
      <c r="C13" s="65"/>
      <c r="D13" s="65"/>
      <c r="E13" s="65">
        <v>46057</v>
      </c>
      <c r="F13" s="65"/>
      <c r="G13" s="65"/>
      <c r="H13" s="65">
        <v>37487</v>
      </c>
      <c r="I13" s="65"/>
      <c r="J13" s="65"/>
      <c r="K13" s="65">
        <v>90328</v>
      </c>
      <c r="L13" s="65"/>
      <c r="M13" s="65"/>
    </row>
    <row r="14" spans="1:13" ht="12" customHeight="1">
      <c r="A14" s="353" t="s">
        <v>125</v>
      </c>
      <c r="B14" s="65">
        <v>26713</v>
      </c>
      <c r="C14" s="65"/>
      <c r="D14" s="65"/>
      <c r="E14" s="65">
        <v>14909</v>
      </c>
      <c r="F14" s="65"/>
      <c r="G14" s="65"/>
      <c r="H14" s="65">
        <v>12089</v>
      </c>
      <c r="I14" s="65"/>
      <c r="J14" s="65"/>
      <c r="K14" s="65">
        <v>29108</v>
      </c>
      <c r="L14" s="65"/>
      <c r="M14" s="65"/>
    </row>
    <row r="15" spans="1:13" ht="12" customHeight="1">
      <c r="A15" s="353" t="s">
        <v>126</v>
      </c>
      <c r="B15" s="65">
        <f>'[3]Megadott keretszámos'!$BL$35</f>
        <v>30154</v>
      </c>
      <c r="C15" s="65"/>
      <c r="D15" s="65"/>
      <c r="E15" s="65">
        <f>'[3]Megadott keretszámos'!$BL$36</f>
        <v>21814</v>
      </c>
      <c r="F15" s="65"/>
      <c r="G15" s="65"/>
      <c r="H15" s="65">
        <f>'[3]Megadott keretszámos'!$BL$37</f>
        <v>16597</v>
      </c>
      <c r="I15" s="65"/>
      <c r="J15" s="65"/>
      <c r="K15" s="65">
        <f>'[3]Megadott keretszámos'!$BL$38</f>
        <v>46533</v>
      </c>
      <c r="L15" s="65"/>
      <c r="M15" s="65"/>
    </row>
    <row r="16" spans="1:13" ht="22.5">
      <c r="A16" s="1303" t="s">
        <v>421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ht="12.75">
      <c r="A17" s="353" t="s">
        <v>135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13" s="189" customFormat="1" ht="12.75">
      <c r="A18" s="351" t="s">
        <v>127</v>
      </c>
      <c r="B18" s="66">
        <f aca="true" t="shared" si="0" ref="B18:M18">SUM(B13:B17)</f>
        <v>139236</v>
      </c>
      <c r="C18" s="66">
        <f t="shared" si="0"/>
        <v>0</v>
      </c>
      <c r="D18" s="66">
        <f t="shared" si="0"/>
        <v>0</v>
      </c>
      <c r="E18" s="66">
        <f t="shared" si="0"/>
        <v>82780</v>
      </c>
      <c r="F18" s="66">
        <f t="shared" si="0"/>
        <v>0</v>
      </c>
      <c r="G18" s="66">
        <f t="shared" si="0"/>
        <v>0</v>
      </c>
      <c r="H18" s="66">
        <f t="shared" si="0"/>
        <v>66173</v>
      </c>
      <c r="I18" s="66">
        <f t="shared" si="0"/>
        <v>0</v>
      </c>
      <c r="J18" s="66">
        <f t="shared" si="0"/>
        <v>0</v>
      </c>
      <c r="K18" s="66">
        <f t="shared" si="0"/>
        <v>165969</v>
      </c>
      <c r="L18" s="66">
        <f t="shared" si="0"/>
        <v>0</v>
      </c>
      <c r="M18" s="66">
        <f t="shared" si="0"/>
        <v>0</v>
      </c>
    </row>
    <row r="19" spans="1:13" ht="12.75">
      <c r="A19" s="353" t="s">
        <v>800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3" ht="12.75">
      <c r="A20" s="353" t="s">
        <v>801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1:13" ht="24">
      <c r="A21" s="339" t="s">
        <v>799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</row>
    <row r="22" spans="1:13" s="189" customFormat="1" ht="12.75">
      <c r="A22" s="351" t="s">
        <v>719</v>
      </c>
      <c r="B22" s="66">
        <f aca="true" t="shared" si="1" ref="B22:M22">SUM(B19:B21)</f>
        <v>0</v>
      </c>
      <c r="C22" s="66">
        <f t="shared" si="1"/>
        <v>0</v>
      </c>
      <c r="D22" s="66">
        <f t="shared" si="1"/>
        <v>0</v>
      </c>
      <c r="E22" s="66">
        <f t="shared" si="1"/>
        <v>0</v>
      </c>
      <c r="F22" s="66">
        <f t="shared" si="1"/>
        <v>0</v>
      </c>
      <c r="G22" s="66">
        <f t="shared" si="1"/>
        <v>0</v>
      </c>
      <c r="H22" s="66">
        <f t="shared" si="1"/>
        <v>0</v>
      </c>
      <c r="I22" s="66">
        <f t="shared" si="1"/>
        <v>0</v>
      </c>
      <c r="J22" s="66">
        <f t="shared" si="1"/>
        <v>0</v>
      </c>
      <c r="K22" s="66">
        <f t="shared" si="1"/>
        <v>0</v>
      </c>
      <c r="L22" s="66">
        <f t="shared" si="1"/>
        <v>0</v>
      </c>
      <c r="M22" s="66">
        <f t="shared" si="1"/>
        <v>0</v>
      </c>
    </row>
    <row r="23" spans="1:13" s="189" customFormat="1" ht="12.75">
      <c r="A23" s="358" t="s">
        <v>720</v>
      </c>
      <c r="B23" s="66">
        <f aca="true" t="shared" si="2" ref="B23:M23">SUM(B18+B22)</f>
        <v>139236</v>
      </c>
      <c r="C23" s="66">
        <f t="shared" si="2"/>
        <v>0</v>
      </c>
      <c r="D23" s="66">
        <f t="shared" si="2"/>
        <v>0</v>
      </c>
      <c r="E23" s="66">
        <f t="shared" si="2"/>
        <v>82780</v>
      </c>
      <c r="F23" s="66">
        <f t="shared" si="2"/>
        <v>0</v>
      </c>
      <c r="G23" s="66">
        <f t="shared" si="2"/>
        <v>0</v>
      </c>
      <c r="H23" s="66">
        <f t="shared" si="2"/>
        <v>66173</v>
      </c>
      <c r="I23" s="66">
        <f t="shared" si="2"/>
        <v>0</v>
      </c>
      <c r="J23" s="66">
        <f t="shared" si="2"/>
        <v>0</v>
      </c>
      <c r="K23" s="66">
        <f t="shared" si="2"/>
        <v>165969</v>
      </c>
      <c r="L23" s="66">
        <f t="shared" si="2"/>
        <v>0</v>
      </c>
      <c r="M23" s="66">
        <f t="shared" si="2"/>
        <v>0</v>
      </c>
    </row>
    <row r="24" spans="1:13" s="189" customFormat="1" ht="12.75">
      <c r="A24" s="351" t="s">
        <v>721</v>
      </c>
      <c r="B24" s="66"/>
      <c r="C24" s="66"/>
      <c r="D24" s="65"/>
      <c r="E24" s="66"/>
      <c r="F24" s="66"/>
      <c r="G24" s="65"/>
      <c r="H24" s="66"/>
      <c r="I24" s="66"/>
      <c r="J24" s="65"/>
      <c r="K24" s="66"/>
      <c r="L24" s="66"/>
      <c r="M24" s="65"/>
    </row>
    <row r="25" spans="1:13" ht="24">
      <c r="A25" s="339" t="s">
        <v>422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24">
      <c r="A26" s="339" t="s">
        <v>448</v>
      </c>
      <c r="B26" s="65">
        <f>5+7550</f>
        <v>7555</v>
      </c>
      <c r="C26" s="65"/>
      <c r="D26" s="65"/>
      <c r="E26" s="65">
        <v>5572</v>
      </c>
      <c r="F26" s="65"/>
      <c r="G26" s="65"/>
      <c r="H26" s="65">
        <f>197+3343</f>
        <v>3540</v>
      </c>
      <c r="I26" s="65"/>
      <c r="J26" s="65"/>
      <c r="K26" s="65">
        <v>11226</v>
      </c>
      <c r="L26" s="65"/>
      <c r="M26" s="65"/>
    </row>
    <row r="27" spans="1:13" ht="12.75">
      <c r="A27" s="353" t="s">
        <v>449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8" spans="1:13" ht="12.75">
      <c r="A28" s="353" t="s">
        <v>136</v>
      </c>
      <c r="B28" s="65">
        <v>1510</v>
      </c>
      <c r="C28" s="65"/>
      <c r="D28" s="65"/>
      <c r="E28" s="65">
        <v>1114</v>
      </c>
      <c r="F28" s="65"/>
      <c r="G28" s="65"/>
      <c r="H28" s="65">
        <v>669</v>
      </c>
      <c r="I28" s="65"/>
      <c r="J28" s="65"/>
      <c r="K28" s="65">
        <v>2245</v>
      </c>
      <c r="L28" s="65"/>
      <c r="M28" s="65"/>
    </row>
    <row r="29" spans="1:13" ht="12.75">
      <c r="A29" s="353" t="s">
        <v>137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3" ht="22.5">
      <c r="A30" s="1303" t="s">
        <v>794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</row>
    <row r="31" spans="1:13" ht="22.5">
      <c r="A31" s="1304" t="s">
        <v>795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</row>
    <row r="32" spans="1:13" ht="12.75">
      <c r="A32" s="353" t="s">
        <v>796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3" ht="12.75">
      <c r="A33" s="353" t="s">
        <v>797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</row>
    <row r="34" spans="1:13" ht="12.75">
      <c r="A34" s="353" t="s">
        <v>798</v>
      </c>
      <c r="B34" s="65">
        <f aca="true" t="shared" si="3" ref="B34:M34">+B23-B25-B26-B27-B28-B30-B31-B32-B33-B29</f>
        <v>130171</v>
      </c>
      <c r="C34" s="65">
        <f t="shared" si="3"/>
        <v>0</v>
      </c>
      <c r="D34" s="65">
        <f t="shared" si="3"/>
        <v>0</v>
      </c>
      <c r="E34" s="65">
        <f t="shared" si="3"/>
        <v>76094</v>
      </c>
      <c r="F34" s="65">
        <f t="shared" si="3"/>
        <v>0</v>
      </c>
      <c r="G34" s="65">
        <f t="shared" si="3"/>
        <v>0</v>
      </c>
      <c r="H34" s="65">
        <f t="shared" si="3"/>
        <v>61964</v>
      </c>
      <c r="I34" s="65">
        <f t="shared" si="3"/>
        <v>0</v>
      </c>
      <c r="J34" s="65">
        <f t="shared" si="3"/>
        <v>0</v>
      </c>
      <c r="K34" s="65">
        <f t="shared" si="3"/>
        <v>152498</v>
      </c>
      <c r="L34" s="65">
        <f t="shared" si="3"/>
        <v>0</v>
      </c>
      <c r="M34" s="65">
        <f t="shared" si="3"/>
        <v>0</v>
      </c>
    </row>
    <row r="35" spans="1:13" ht="12.75">
      <c r="A35" s="1300" t="s">
        <v>197</v>
      </c>
      <c r="B35" s="65">
        <v>45670</v>
      </c>
      <c r="C35" s="65"/>
      <c r="D35" s="65"/>
      <c r="E35" s="65">
        <v>31192</v>
      </c>
      <c r="F35" s="65"/>
      <c r="G35" s="65"/>
      <c r="H35" s="65">
        <v>21043</v>
      </c>
      <c r="I35" s="65"/>
      <c r="J35" s="65"/>
      <c r="K35" s="65">
        <v>57298</v>
      </c>
      <c r="L35" s="65"/>
      <c r="M35" s="65"/>
    </row>
    <row r="36" spans="1:13" ht="12" customHeight="1">
      <c r="A36" s="1301" t="s">
        <v>398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spans="1:13" s="189" customFormat="1" ht="11.25" customHeight="1">
      <c r="A37" s="358" t="s">
        <v>722</v>
      </c>
      <c r="B37" s="66">
        <f aca="true" t="shared" si="4" ref="B37:M37">SUM(B25:B34)</f>
        <v>139236</v>
      </c>
      <c r="C37" s="66">
        <f t="shared" si="4"/>
        <v>0</v>
      </c>
      <c r="D37" s="66">
        <f t="shared" si="4"/>
        <v>0</v>
      </c>
      <c r="E37" s="66">
        <f t="shared" si="4"/>
        <v>82780</v>
      </c>
      <c r="F37" s="66">
        <f t="shared" si="4"/>
        <v>0</v>
      </c>
      <c r="G37" s="66">
        <f t="shared" si="4"/>
        <v>0</v>
      </c>
      <c r="H37" s="66">
        <f t="shared" si="4"/>
        <v>66173</v>
      </c>
      <c r="I37" s="66">
        <f t="shared" si="4"/>
        <v>0</v>
      </c>
      <c r="J37" s="66">
        <f t="shared" si="4"/>
        <v>0</v>
      </c>
      <c r="K37" s="66">
        <f t="shared" si="4"/>
        <v>165969</v>
      </c>
      <c r="L37" s="66">
        <f t="shared" si="4"/>
        <v>0</v>
      </c>
      <c r="M37" s="66">
        <f t="shared" si="4"/>
        <v>0</v>
      </c>
    </row>
    <row r="39" spans="2:11" ht="12.75">
      <c r="B39" s="134"/>
      <c r="E39" s="134"/>
      <c r="H39" s="134"/>
      <c r="K39" s="134"/>
    </row>
  </sheetData>
  <printOptions horizontalCentered="1"/>
  <pageMargins left="0.3937007874015748" right="0.3937007874015748" top="0.31496062992125984" bottom="0.5118110236220472" header="0.31496062992125984" footer="0"/>
  <pageSetup horizontalDpi="300" verticalDpi="300" orientation="landscape" paperSize="9" r:id="rId1"/>
  <headerFooter alignWithMargins="0">
    <oddHeader>&amp;C&amp;"Times New Roman,Normál"&amp;8 5&amp;"MS Sans Serif,Normál"
&amp;R&amp;"Times New Roman,Normál"6/a. számú melléklet&amp;"MS Sans Serif,Normál"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A1">
      <pane xSplit="1" ySplit="8" topLeftCell="D30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K35" sqref="K35"/>
    </sheetView>
  </sheetViews>
  <sheetFormatPr defaultColWidth="9.140625" defaultRowHeight="12.75"/>
  <cols>
    <col min="1" max="1" width="28.8515625" style="27" customWidth="1"/>
    <col min="2" max="2" width="9.28125" style="27" customWidth="1"/>
    <col min="3" max="3" width="8.7109375" style="27" customWidth="1"/>
    <col min="4" max="4" width="9.421875" style="27" bestFit="1" customWidth="1"/>
    <col min="5" max="5" width="9.28125" style="27" customWidth="1"/>
    <col min="6" max="6" width="8.7109375" style="27" customWidth="1"/>
    <col min="7" max="7" width="9.421875" style="27" bestFit="1" customWidth="1"/>
    <col min="8" max="8" width="9.28125" style="27" customWidth="1"/>
    <col min="9" max="9" width="8.7109375" style="27" customWidth="1"/>
    <col min="10" max="10" width="9.421875" style="27" bestFit="1" customWidth="1"/>
    <col min="11" max="11" width="9.28125" style="27" customWidth="1"/>
    <col min="12" max="12" width="8.7109375" style="27" customWidth="1"/>
    <col min="13" max="13" width="9.421875" style="27" bestFit="1" customWidth="1"/>
  </cols>
  <sheetData>
    <row r="1" ht="12" customHeight="1"/>
    <row r="2" spans="1:13" ht="18.75">
      <c r="A2" s="37" t="s">
        <v>132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</row>
    <row r="3" spans="12:13" ht="9.75" customHeight="1">
      <c r="L3" s="809" t="s">
        <v>128</v>
      </c>
      <c r="M3" s="809"/>
    </row>
    <row r="4" spans="1:13" ht="12" customHeight="1">
      <c r="A4" s="1251" t="s">
        <v>777</v>
      </c>
      <c r="B4" s="1295">
        <v>21</v>
      </c>
      <c r="C4" s="179"/>
      <c r="D4" s="129"/>
      <c r="E4" s="1295">
        <v>22</v>
      </c>
      <c r="F4" s="179"/>
      <c r="G4" s="129"/>
      <c r="H4" s="1295">
        <v>23</v>
      </c>
      <c r="I4" s="179"/>
      <c r="J4" s="129"/>
      <c r="K4" s="1295">
        <v>24</v>
      </c>
      <c r="L4" s="179"/>
      <c r="M4" s="129"/>
    </row>
    <row r="5" spans="1:13" ht="12" customHeight="1">
      <c r="A5" s="1251" t="s">
        <v>463</v>
      </c>
      <c r="B5" s="1251"/>
      <c r="C5" s="180"/>
      <c r="D5" s="181"/>
      <c r="E5" s="1251"/>
      <c r="F5" s="138"/>
      <c r="G5" s="182"/>
      <c r="H5" s="131"/>
      <c r="I5" s="138"/>
      <c r="J5" s="182"/>
      <c r="K5" s="131"/>
      <c r="L5" s="138"/>
      <c r="M5" s="182"/>
    </row>
    <row r="6" spans="1:13" ht="12" customHeight="1">
      <c r="A6" s="1251" t="s">
        <v>778</v>
      </c>
      <c r="B6" s="1295" t="s">
        <v>153</v>
      </c>
      <c r="C6" s="179"/>
      <c r="D6" s="129"/>
      <c r="E6" s="1295" t="s">
        <v>154</v>
      </c>
      <c r="F6" s="179"/>
      <c r="G6" s="129"/>
      <c r="H6" s="1295" t="s">
        <v>155</v>
      </c>
      <c r="I6" s="179"/>
      <c r="J6" s="129"/>
      <c r="K6" s="1295" t="s">
        <v>156</v>
      </c>
      <c r="L6" s="179"/>
      <c r="M6" s="129"/>
    </row>
    <row r="7" spans="1:13" ht="12" customHeight="1">
      <c r="A7" s="1251" t="s">
        <v>781</v>
      </c>
      <c r="B7" s="1295">
        <v>801115</v>
      </c>
      <c r="C7" s="179"/>
      <c r="D7" s="129"/>
      <c r="E7" s="1295">
        <v>801115</v>
      </c>
      <c r="F7" s="179"/>
      <c r="G7" s="129"/>
      <c r="H7" s="1295">
        <v>801214</v>
      </c>
      <c r="I7" s="179"/>
      <c r="J7" s="129"/>
      <c r="K7" s="1295">
        <v>801214</v>
      </c>
      <c r="L7" s="179"/>
      <c r="M7" s="129"/>
    </row>
    <row r="8" spans="1:13" ht="12" customHeight="1">
      <c r="A8" s="1297" t="s">
        <v>782</v>
      </c>
      <c r="B8" s="1298" t="s">
        <v>783</v>
      </c>
      <c r="C8" s="183"/>
      <c r="D8" s="184"/>
      <c r="E8" s="1298"/>
      <c r="F8" s="183"/>
      <c r="G8" s="184"/>
      <c r="H8" s="1298"/>
      <c r="I8" s="183"/>
      <c r="J8" s="184"/>
      <c r="K8" s="1298"/>
      <c r="L8" s="183"/>
      <c r="M8" s="184"/>
    </row>
    <row r="9" spans="1:13" s="187" customFormat="1" ht="31.5">
      <c r="A9" s="1302" t="s">
        <v>784</v>
      </c>
      <c r="B9" s="1299" t="s">
        <v>249</v>
      </c>
      <c r="C9" s="812"/>
      <c r="D9" s="1299"/>
      <c r="E9" s="1299" t="s">
        <v>249</v>
      </c>
      <c r="F9" s="812"/>
      <c r="G9" s="1299"/>
      <c r="H9" s="1299" t="s">
        <v>249</v>
      </c>
      <c r="I9" s="812"/>
      <c r="J9" s="1299"/>
      <c r="K9" s="1299" t="s">
        <v>249</v>
      </c>
      <c r="L9" s="812"/>
      <c r="M9" s="1299"/>
    </row>
    <row r="10" spans="1:13" ht="9.75" customHeight="1">
      <c r="A10" s="329" t="s">
        <v>524</v>
      </c>
      <c r="B10" s="32" t="s">
        <v>525</v>
      </c>
      <c r="C10" s="31" t="s">
        <v>526</v>
      </c>
      <c r="D10" s="31" t="s">
        <v>729</v>
      </c>
      <c r="E10" s="31" t="s">
        <v>730</v>
      </c>
      <c r="F10" s="31" t="s">
        <v>731</v>
      </c>
      <c r="G10" s="31" t="s">
        <v>732</v>
      </c>
      <c r="H10" s="31" t="s">
        <v>733</v>
      </c>
      <c r="I10" s="31" t="s">
        <v>734</v>
      </c>
      <c r="J10" s="31" t="s">
        <v>735</v>
      </c>
      <c r="K10" s="31" t="s">
        <v>736</v>
      </c>
      <c r="L10" s="31" t="s">
        <v>737</v>
      </c>
      <c r="M10" s="31" t="s">
        <v>738</v>
      </c>
    </row>
    <row r="11" spans="1:13" ht="12" customHeight="1">
      <c r="A11" s="353" t="s">
        <v>785</v>
      </c>
      <c r="B11" s="188">
        <v>36.5</v>
      </c>
      <c r="C11" s="188"/>
      <c r="D11" s="188"/>
      <c r="E11" s="188">
        <v>21</v>
      </c>
      <c r="F11" s="188"/>
      <c r="G11" s="188"/>
      <c r="H11" s="188">
        <v>43.5</v>
      </c>
      <c r="I11" s="188"/>
      <c r="J11" s="188"/>
      <c r="K11" s="188">
        <v>52</v>
      </c>
      <c r="L11" s="188"/>
      <c r="M11" s="188"/>
    </row>
    <row r="12" spans="1:13" s="189" customFormat="1" ht="12" customHeight="1">
      <c r="A12" s="351" t="s">
        <v>786</v>
      </c>
      <c r="B12" s="66"/>
      <c r="C12" s="66"/>
      <c r="D12" s="188"/>
      <c r="E12" s="66"/>
      <c r="F12" s="66"/>
      <c r="G12" s="188"/>
      <c r="H12" s="66"/>
      <c r="I12" s="66"/>
      <c r="J12" s="188"/>
      <c r="K12" s="66"/>
      <c r="L12" s="66"/>
      <c r="M12" s="188"/>
    </row>
    <row r="13" spans="1:13" ht="12" customHeight="1">
      <c r="A13" s="353" t="s">
        <v>787</v>
      </c>
      <c r="B13" s="65">
        <v>72601</v>
      </c>
      <c r="C13" s="65"/>
      <c r="D13" s="65"/>
      <c r="E13" s="65">
        <v>43207</v>
      </c>
      <c r="F13" s="65"/>
      <c r="G13" s="65"/>
      <c r="H13" s="65">
        <v>106407</v>
      </c>
      <c r="I13" s="65"/>
      <c r="J13" s="65"/>
      <c r="K13" s="65">
        <v>120582</v>
      </c>
      <c r="L13" s="65"/>
      <c r="M13" s="65"/>
    </row>
    <row r="14" spans="1:13" ht="12" customHeight="1">
      <c r="A14" s="353" t="s">
        <v>125</v>
      </c>
      <c r="B14" s="65">
        <v>23480</v>
      </c>
      <c r="C14" s="65"/>
      <c r="D14" s="65"/>
      <c r="E14" s="65">
        <v>13946</v>
      </c>
      <c r="F14" s="65"/>
      <c r="G14" s="65"/>
      <c r="H14" s="65">
        <v>34134</v>
      </c>
      <c r="I14" s="65"/>
      <c r="J14" s="65"/>
      <c r="K14" s="65">
        <v>38552</v>
      </c>
      <c r="L14" s="65"/>
      <c r="M14" s="65"/>
    </row>
    <row r="15" spans="1:13" ht="12" customHeight="1">
      <c r="A15" s="353" t="s">
        <v>126</v>
      </c>
      <c r="B15" s="65">
        <f>'[3]Megadott keretszámos'!$BL$39</f>
        <v>30274</v>
      </c>
      <c r="C15" s="65"/>
      <c r="D15" s="65"/>
      <c r="E15" s="65">
        <f>'[3]Megadott keretszámos'!$BL$40</f>
        <v>17253</v>
      </c>
      <c r="F15" s="65"/>
      <c r="G15" s="65"/>
      <c r="H15" s="65">
        <f>'[3]Megadott keretszámos'!$BL$6</f>
        <v>32008</v>
      </c>
      <c r="I15" s="65"/>
      <c r="J15" s="65"/>
      <c r="K15" s="65">
        <f>'[3]Megadott keretszámos'!$BL$7</f>
        <v>52285</v>
      </c>
      <c r="L15" s="65"/>
      <c r="M15" s="65"/>
    </row>
    <row r="16" spans="1:13" ht="22.5">
      <c r="A16" s="1303" t="s">
        <v>421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ht="12" customHeight="1">
      <c r="A17" s="353" t="s">
        <v>135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13" s="189" customFormat="1" ht="12" customHeight="1">
      <c r="A18" s="351" t="s">
        <v>127</v>
      </c>
      <c r="B18" s="66">
        <f aca="true" t="shared" si="0" ref="B18:M18">SUM(B13:B17)</f>
        <v>126355</v>
      </c>
      <c r="C18" s="66">
        <f t="shared" si="0"/>
        <v>0</v>
      </c>
      <c r="D18" s="66">
        <f t="shared" si="0"/>
        <v>0</v>
      </c>
      <c r="E18" s="66">
        <f t="shared" si="0"/>
        <v>74406</v>
      </c>
      <c r="F18" s="66">
        <f t="shared" si="0"/>
        <v>0</v>
      </c>
      <c r="G18" s="66">
        <f t="shared" si="0"/>
        <v>0</v>
      </c>
      <c r="H18" s="66">
        <f t="shared" si="0"/>
        <v>172549</v>
      </c>
      <c r="I18" s="66">
        <f t="shared" si="0"/>
        <v>0</v>
      </c>
      <c r="J18" s="66">
        <f t="shared" si="0"/>
        <v>0</v>
      </c>
      <c r="K18" s="66">
        <f t="shared" si="0"/>
        <v>211419</v>
      </c>
      <c r="L18" s="66">
        <f t="shared" si="0"/>
        <v>0</v>
      </c>
      <c r="M18" s="66">
        <f t="shared" si="0"/>
        <v>0</v>
      </c>
    </row>
    <row r="19" spans="1:13" ht="12" customHeight="1">
      <c r="A19" s="353" t="s">
        <v>800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3" ht="12" customHeight="1">
      <c r="A20" s="353" t="s">
        <v>801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1:13" ht="24">
      <c r="A21" s="339" t="s">
        <v>799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</row>
    <row r="22" spans="1:13" s="189" customFormat="1" ht="12" customHeight="1">
      <c r="A22" s="351" t="s">
        <v>719</v>
      </c>
      <c r="B22" s="66">
        <f aca="true" t="shared" si="1" ref="B22:M22">SUM(B19:B21)</f>
        <v>0</v>
      </c>
      <c r="C22" s="66">
        <f t="shared" si="1"/>
        <v>0</v>
      </c>
      <c r="D22" s="66">
        <f t="shared" si="1"/>
        <v>0</v>
      </c>
      <c r="E22" s="66">
        <f t="shared" si="1"/>
        <v>0</v>
      </c>
      <c r="F22" s="66">
        <f t="shared" si="1"/>
        <v>0</v>
      </c>
      <c r="G22" s="66">
        <f t="shared" si="1"/>
        <v>0</v>
      </c>
      <c r="H22" s="66">
        <f t="shared" si="1"/>
        <v>0</v>
      </c>
      <c r="I22" s="66">
        <f t="shared" si="1"/>
        <v>0</v>
      </c>
      <c r="J22" s="66">
        <f t="shared" si="1"/>
        <v>0</v>
      </c>
      <c r="K22" s="66">
        <f t="shared" si="1"/>
        <v>0</v>
      </c>
      <c r="L22" s="66">
        <f t="shared" si="1"/>
        <v>0</v>
      </c>
      <c r="M22" s="66">
        <f t="shared" si="1"/>
        <v>0</v>
      </c>
    </row>
    <row r="23" spans="1:13" s="189" customFormat="1" ht="12" customHeight="1">
      <c r="A23" s="358" t="s">
        <v>720</v>
      </c>
      <c r="B23" s="66">
        <f aca="true" t="shared" si="2" ref="B23:M23">SUM(B18+B22)</f>
        <v>126355</v>
      </c>
      <c r="C23" s="66">
        <f t="shared" si="2"/>
        <v>0</v>
      </c>
      <c r="D23" s="66">
        <f t="shared" si="2"/>
        <v>0</v>
      </c>
      <c r="E23" s="66">
        <f t="shared" si="2"/>
        <v>74406</v>
      </c>
      <c r="F23" s="66">
        <f t="shared" si="2"/>
        <v>0</v>
      </c>
      <c r="G23" s="66">
        <f t="shared" si="2"/>
        <v>0</v>
      </c>
      <c r="H23" s="66">
        <f t="shared" si="2"/>
        <v>172549</v>
      </c>
      <c r="I23" s="66">
        <f t="shared" si="2"/>
        <v>0</v>
      </c>
      <c r="J23" s="66">
        <f t="shared" si="2"/>
        <v>0</v>
      </c>
      <c r="K23" s="66">
        <f t="shared" si="2"/>
        <v>211419</v>
      </c>
      <c r="L23" s="66">
        <f t="shared" si="2"/>
        <v>0</v>
      </c>
      <c r="M23" s="66">
        <f t="shared" si="2"/>
        <v>0</v>
      </c>
    </row>
    <row r="24" spans="1:13" s="189" customFormat="1" ht="12" customHeight="1">
      <c r="A24" s="351" t="s">
        <v>721</v>
      </c>
      <c r="B24" s="66"/>
      <c r="C24" s="66"/>
      <c r="D24" s="65"/>
      <c r="E24" s="66"/>
      <c r="F24" s="66"/>
      <c r="G24" s="65"/>
      <c r="H24" s="66"/>
      <c r="I24" s="66"/>
      <c r="J24" s="65"/>
      <c r="K24" s="66"/>
      <c r="L24" s="66"/>
      <c r="M24" s="65"/>
    </row>
    <row r="25" spans="1:13" ht="24">
      <c r="A25" s="339" t="s">
        <v>422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24">
      <c r="A26" s="339" t="s">
        <v>448</v>
      </c>
      <c r="B26" s="65">
        <v>9007</v>
      </c>
      <c r="C26" s="65"/>
      <c r="D26" s="65"/>
      <c r="E26" s="65">
        <v>4287</v>
      </c>
      <c r="F26" s="65"/>
      <c r="G26" s="65"/>
      <c r="H26" s="65">
        <f>190+6422-1073</f>
        <v>5539</v>
      </c>
      <c r="I26" s="65"/>
      <c r="J26" s="65"/>
      <c r="K26" s="65">
        <f>230+9224</f>
        <v>9454</v>
      </c>
      <c r="L26" s="65"/>
      <c r="M26" s="65"/>
    </row>
    <row r="27" spans="1:13" ht="12.75">
      <c r="A27" s="353" t="s">
        <v>449</v>
      </c>
      <c r="B27" s="65"/>
      <c r="C27" s="65"/>
      <c r="D27" s="65"/>
      <c r="E27" s="65"/>
      <c r="F27" s="65"/>
      <c r="G27" s="65"/>
      <c r="H27" s="65">
        <v>1073</v>
      </c>
      <c r="I27" s="65"/>
      <c r="J27" s="65"/>
      <c r="K27" s="65"/>
      <c r="L27" s="65"/>
      <c r="M27" s="65"/>
    </row>
    <row r="28" spans="1:13" ht="12.75">
      <c r="A28" s="353" t="s">
        <v>136</v>
      </c>
      <c r="B28" s="65">
        <v>1801</v>
      </c>
      <c r="C28" s="65"/>
      <c r="D28" s="65"/>
      <c r="E28" s="65">
        <v>858</v>
      </c>
      <c r="F28" s="65"/>
      <c r="G28" s="65"/>
      <c r="H28" s="65">
        <v>1285</v>
      </c>
      <c r="I28" s="65"/>
      <c r="J28" s="65"/>
      <c r="K28" s="65">
        <v>1845</v>
      </c>
      <c r="L28" s="65"/>
      <c r="M28" s="65"/>
    </row>
    <row r="29" spans="1:13" ht="12.75">
      <c r="A29" s="353" t="s">
        <v>137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3" ht="18.75" customHeight="1">
      <c r="A30" s="1303" t="s">
        <v>794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</row>
    <row r="31" spans="1:13" ht="21" customHeight="1">
      <c r="A31" s="1304" t="s">
        <v>795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</row>
    <row r="32" spans="1:13" ht="12" customHeight="1">
      <c r="A32" s="353" t="s">
        <v>796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3" ht="12" customHeight="1">
      <c r="A33" s="353" t="s">
        <v>797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</row>
    <row r="34" spans="1:13" ht="12" customHeight="1">
      <c r="A34" s="353" t="s">
        <v>798</v>
      </c>
      <c r="B34" s="65">
        <f aca="true" t="shared" si="3" ref="B34:M34">+B23-B25-B26-B27-B28-B30-B31-B32-B33-B29</f>
        <v>115547</v>
      </c>
      <c r="C34" s="65">
        <f t="shared" si="3"/>
        <v>0</v>
      </c>
      <c r="D34" s="65">
        <f t="shared" si="3"/>
        <v>0</v>
      </c>
      <c r="E34" s="65">
        <f t="shared" si="3"/>
        <v>69261</v>
      </c>
      <c r="F34" s="65">
        <f t="shared" si="3"/>
        <v>0</v>
      </c>
      <c r="G34" s="65">
        <f t="shared" si="3"/>
        <v>0</v>
      </c>
      <c r="H34" s="65">
        <f t="shared" si="3"/>
        <v>164652</v>
      </c>
      <c r="I34" s="65">
        <f t="shared" si="3"/>
        <v>0</v>
      </c>
      <c r="J34" s="65">
        <f t="shared" si="3"/>
        <v>0</v>
      </c>
      <c r="K34" s="65">
        <f t="shared" si="3"/>
        <v>200120</v>
      </c>
      <c r="L34" s="65">
        <f t="shared" si="3"/>
        <v>0</v>
      </c>
      <c r="M34" s="65">
        <f t="shared" si="3"/>
        <v>0</v>
      </c>
    </row>
    <row r="35" spans="1:13" ht="12.75">
      <c r="A35" s="1300" t="s">
        <v>197</v>
      </c>
      <c r="B35" s="65">
        <v>47571</v>
      </c>
      <c r="C35" s="65"/>
      <c r="D35" s="65"/>
      <c r="E35" s="65">
        <v>26903</v>
      </c>
      <c r="F35" s="65"/>
      <c r="G35" s="65"/>
      <c r="H35" s="65">
        <v>66163</v>
      </c>
      <c r="I35" s="65"/>
      <c r="J35" s="65"/>
      <c r="K35" s="65">
        <v>91952</v>
      </c>
      <c r="L35" s="65"/>
      <c r="M35" s="65"/>
    </row>
    <row r="36" spans="1:13" ht="12" customHeight="1">
      <c r="A36" s="1301" t="s">
        <v>398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spans="1:13" s="189" customFormat="1" ht="11.25" customHeight="1">
      <c r="A37" s="358" t="s">
        <v>722</v>
      </c>
      <c r="B37" s="66">
        <f aca="true" t="shared" si="4" ref="B37:M37">SUM(B25:B34)</f>
        <v>126355</v>
      </c>
      <c r="C37" s="66">
        <f t="shared" si="4"/>
        <v>0</v>
      </c>
      <c r="D37" s="66">
        <f t="shared" si="4"/>
        <v>0</v>
      </c>
      <c r="E37" s="66">
        <f t="shared" si="4"/>
        <v>74406</v>
      </c>
      <c r="F37" s="66">
        <f t="shared" si="4"/>
        <v>0</v>
      </c>
      <c r="G37" s="66">
        <f t="shared" si="4"/>
        <v>0</v>
      </c>
      <c r="H37" s="66">
        <f t="shared" si="4"/>
        <v>172549</v>
      </c>
      <c r="I37" s="66">
        <f t="shared" si="4"/>
        <v>0</v>
      </c>
      <c r="J37" s="66">
        <f t="shared" si="4"/>
        <v>0</v>
      </c>
      <c r="K37" s="66">
        <f t="shared" si="4"/>
        <v>211419</v>
      </c>
      <c r="L37" s="66">
        <f t="shared" si="4"/>
        <v>0</v>
      </c>
      <c r="M37" s="66">
        <f t="shared" si="4"/>
        <v>0</v>
      </c>
    </row>
    <row r="39" spans="2:11" ht="12.75">
      <c r="B39" s="134"/>
      <c r="E39" s="134"/>
      <c r="H39" s="134"/>
      <c r="K39" s="134"/>
    </row>
  </sheetData>
  <printOptions horizontalCentered="1"/>
  <pageMargins left="0.3937007874015748" right="0.3937007874015748" top="0.31496062992125984" bottom="0.5118110236220472" header="0.31496062992125984" footer="0"/>
  <pageSetup horizontalDpi="300" verticalDpi="300" orientation="landscape" paperSize="9" r:id="rId1"/>
  <headerFooter alignWithMargins="0">
    <oddHeader>&amp;C&amp;"Times New Roman,Normál"&amp;8 6&amp;R&amp;"Times New Roman,Normál"6/a. számú melléklet&amp;"MS Sans Serif,Normál"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A1">
      <pane xSplit="1" ySplit="8" topLeftCell="G27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N35" sqref="N35"/>
    </sheetView>
  </sheetViews>
  <sheetFormatPr defaultColWidth="9.140625" defaultRowHeight="12.75"/>
  <cols>
    <col min="1" max="1" width="28.8515625" style="27" customWidth="1"/>
    <col min="2" max="2" width="9.28125" style="27" customWidth="1"/>
    <col min="3" max="3" width="8.7109375" style="27" customWidth="1"/>
    <col min="4" max="4" width="9.421875" style="27" bestFit="1" customWidth="1"/>
    <col min="5" max="5" width="9.28125" style="27" customWidth="1"/>
    <col min="6" max="6" width="8.7109375" style="27" customWidth="1"/>
    <col min="7" max="7" width="9.421875" style="27" bestFit="1" customWidth="1"/>
    <col min="8" max="8" width="9.28125" style="27" customWidth="1"/>
    <col min="9" max="9" width="8.7109375" style="27" customWidth="1"/>
    <col min="10" max="10" width="9.421875" style="27" bestFit="1" customWidth="1"/>
    <col min="11" max="11" width="9.28125" style="27" customWidth="1"/>
    <col min="12" max="12" width="8.7109375" style="27" customWidth="1"/>
    <col min="13" max="13" width="9.421875" style="27" bestFit="1" customWidth="1"/>
  </cols>
  <sheetData>
    <row r="1" ht="12" customHeight="1"/>
    <row r="2" spans="1:13" ht="18.75">
      <c r="A2" s="37" t="s">
        <v>132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</row>
    <row r="3" spans="12:13" ht="9.75" customHeight="1">
      <c r="L3" s="809" t="s">
        <v>128</v>
      </c>
      <c r="M3" s="809"/>
    </row>
    <row r="4" spans="1:13" ht="12" customHeight="1">
      <c r="A4" s="1251" t="s">
        <v>777</v>
      </c>
      <c r="B4" s="1295">
        <v>25</v>
      </c>
      <c r="C4" s="179"/>
      <c r="D4" s="129"/>
      <c r="E4" s="1295">
        <v>26</v>
      </c>
      <c r="F4" s="179"/>
      <c r="G4" s="129"/>
      <c r="H4" s="1295">
        <v>27</v>
      </c>
      <c r="I4" s="179"/>
      <c r="J4" s="129"/>
      <c r="K4" s="1295">
        <v>28</v>
      </c>
      <c r="L4" s="179"/>
      <c r="M4" s="129"/>
    </row>
    <row r="5" spans="1:13" ht="12" customHeight="1">
      <c r="A5" s="1251" t="s">
        <v>463</v>
      </c>
      <c r="B5" s="1251"/>
      <c r="C5" s="180"/>
      <c r="D5" s="181"/>
      <c r="E5" s="1251"/>
      <c r="F5" s="138"/>
      <c r="G5" s="182"/>
      <c r="H5" s="131"/>
      <c r="I5" s="138"/>
      <c r="J5" s="182"/>
      <c r="K5" s="131"/>
      <c r="L5" s="138"/>
      <c r="M5" s="182"/>
    </row>
    <row r="6" spans="1:13" ht="12" customHeight="1">
      <c r="A6" s="1251" t="s">
        <v>778</v>
      </c>
      <c r="B6" s="1295" t="s">
        <v>157</v>
      </c>
      <c r="C6" s="179"/>
      <c r="D6" s="129"/>
      <c r="E6" s="1295" t="s">
        <v>158</v>
      </c>
      <c r="F6" s="179"/>
      <c r="G6" s="129"/>
      <c r="H6" s="1295" t="s">
        <v>159</v>
      </c>
      <c r="I6" s="179"/>
      <c r="J6" s="129"/>
      <c r="K6" s="1295" t="s">
        <v>160</v>
      </c>
      <c r="L6" s="179"/>
      <c r="M6" s="129"/>
    </row>
    <row r="7" spans="1:13" ht="12" customHeight="1">
      <c r="A7" s="1251" t="s">
        <v>781</v>
      </c>
      <c r="B7" s="1295">
        <v>801214</v>
      </c>
      <c r="C7" s="179"/>
      <c r="D7" s="129"/>
      <c r="E7" s="1295">
        <v>801214</v>
      </c>
      <c r="F7" s="179"/>
      <c r="G7" s="129"/>
      <c r="H7" s="1295">
        <v>801214</v>
      </c>
      <c r="I7" s="179"/>
      <c r="J7" s="129"/>
      <c r="K7" s="1295">
        <v>801214</v>
      </c>
      <c r="L7" s="179"/>
      <c r="M7" s="129"/>
    </row>
    <row r="8" spans="1:13" ht="12" customHeight="1">
      <c r="A8" s="1297" t="s">
        <v>782</v>
      </c>
      <c r="B8" s="1298" t="s">
        <v>783</v>
      </c>
      <c r="C8" s="183"/>
      <c r="D8" s="184"/>
      <c r="E8" s="1298"/>
      <c r="F8" s="183"/>
      <c r="G8" s="184"/>
      <c r="H8" s="1298"/>
      <c r="I8" s="183"/>
      <c r="J8" s="184"/>
      <c r="K8" s="1298"/>
      <c r="L8" s="183"/>
      <c r="M8" s="184"/>
    </row>
    <row r="9" spans="1:13" s="187" customFormat="1" ht="31.5">
      <c r="A9" s="1302" t="s">
        <v>784</v>
      </c>
      <c r="B9" s="1299" t="s">
        <v>249</v>
      </c>
      <c r="C9" s="812"/>
      <c r="D9" s="1299"/>
      <c r="E9" s="1299" t="s">
        <v>249</v>
      </c>
      <c r="F9" s="812"/>
      <c r="G9" s="1299"/>
      <c r="H9" s="1299" t="s">
        <v>249</v>
      </c>
      <c r="I9" s="812"/>
      <c r="J9" s="1299"/>
      <c r="K9" s="1299" t="s">
        <v>249</v>
      </c>
      <c r="L9" s="812"/>
      <c r="M9" s="1299"/>
    </row>
    <row r="10" spans="1:13" ht="9.75" customHeight="1">
      <c r="A10" s="329" t="s">
        <v>524</v>
      </c>
      <c r="B10" s="32" t="s">
        <v>525</v>
      </c>
      <c r="C10" s="31" t="s">
        <v>526</v>
      </c>
      <c r="D10" s="31" t="s">
        <v>729</v>
      </c>
      <c r="E10" s="31" t="s">
        <v>730</v>
      </c>
      <c r="F10" s="31" t="s">
        <v>731</v>
      </c>
      <c r="G10" s="31" t="s">
        <v>732</v>
      </c>
      <c r="H10" s="31"/>
      <c r="I10" s="31" t="s">
        <v>734</v>
      </c>
      <c r="J10" s="31" t="s">
        <v>735</v>
      </c>
      <c r="K10" s="31" t="s">
        <v>736</v>
      </c>
      <c r="L10" s="31" t="s">
        <v>737</v>
      </c>
      <c r="M10" s="31" t="s">
        <v>738</v>
      </c>
    </row>
    <row r="11" spans="1:13" ht="12" customHeight="1">
      <c r="A11" s="353" t="s">
        <v>785</v>
      </c>
      <c r="B11" s="188">
        <v>53.5</v>
      </c>
      <c r="C11" s="188"/>
      <c r="D11" s="188"/>
      <c r="E11" s="188">
        <v>46.5</v>
      </c>
      <c r="F11" s="188"/>
      <c r="G11" s="188"/>
      <c r="H11" s="188">
        <v>49</v>
      </c>
      <c r="I11" s="188"/>
      <c r="J11" s="188"/>
      <c r="K11" s="188">
        <v>38</v>
      </c>
      <c r="L11" s="188"/>
      <c r="M11" s="188"/>
    </row>
    <row r="12" spans="1:13" s="189" customFormat="1" ht="12" customHeight="1">
      <c r="A12" s="351" t="s">
        <v>786</v>
      </c>
      <c r="B12" s="66"/>
      <c r="C12" s="66"/>
      <c r="D12" s="188"/>
      <c r="E12" s="66"/>
      <c r="F12" s="66"/>
      <c r="G12" s="188"/>
      <c r="H12" s="66"/>
      <c r="I12" s="66"/>
      <c r="J12" s="188"/>
      <c r="K12" s="66"/>
      <c r="L12" s="66"/>
      <c r="M12" s="188"/>
    </row>
    <row r="13" spans="1:13" ht="12" customHeight="1">
      <c r="A13" s="353" t="s">
        <v>787</v>
      </c>
      <c r="B13" s="65">
        <v>133166</v>
      </c>
      <c r="C13" s="65"/>
      <c r="D13" s="65"/>
      <c r="E13" s="65">
        <v>105238</v>
      </c>
      <c r="F13" s="65"/>
      <c r="G13" s="65"/>
      <c r="H13" s="65">
        <v>112849</v>
      </c>
      <c r="I13" s="65"/>
      <c r="J13" s="65"/>
      <c r="K13" s="65">
        <v>76209</v>
      </c>
      <c r="L13" s="65"/>
      <c r="M13" s="65"/>
    </row>
    <row r="14" spans="1:13" ht="12" customHeight="1">
      <c r="A14" s="353" t="s">
        <v>125</v>
      </c>
      <c r="B14" s="65">
        <v>42707</v>
      </c>
      <c r="C14" s="65"/>
      <c r="D14" s="65"/>
      <c r="E14" s="65">
        <v>33725</v>
      </c>
      <c r="F14" s="65"/>
      <c r="G14" s="65"/>
      <c r="H14" s="65">
        <v>36445</v>
      </c>
      <c r="I14" s="65"/>
      <c r="J14" s="65"/>
      <c r="K14" s="65">
        <v>24495</v>
      </c>
      <c r="L14" s="65"/>
      <c r="M14" s="65"/>
    </row>
    <row r="15" spans="1:13" ht="12" customHeight="1">
      <c r="A15" s="353" t="s">
        <v>126</v>
      </c>
      <c r="B15" s="65">
        <f>'[3]Megadott keretszámos'!$BL$8</f>
        <v>43564</v>
      </c>
      <c r="C15" s="65"/>
      <c r="D15" s="65"/>
      <c r="E15" s="65">
        <f>'[3]Megadott keretszámos'!$BL$9</f>
        <v>43272</v>
      </c>
      <c r="F15" s="65"/>
      <c r="G15" s="65"/>
      <c r="H15" s="65">
        <f>'[3]Megadott keretszámos'!$BL$10</f>
        <v>56829</v>
      </c>
      <c r="I15" s="65"/>
      <c r="J15" s="65"/>
      <c r="K15" s="65">
        <f>'[3]Megadott keretszámos'!$BL$11</f>
        <v>33782</v>
      </c>
      <c r="L15" s="65"/>
      <c r="M15" s="65"/>
    </row>
    <row r="16" spans="1:13" ht="22.5">
      <c r="A16" s="1303" t="s">
        <v>421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ht="12.75">
      <c r="A17" s="353" t="s">
        <v>135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13" s="189" customFormat="1" ht="12" customHeight="1">
      <c r="A18" s="351" t="s">
        <v>127</v>
      </c>
      <c r="B18" s="66">
        <f aca="true" t="shared" si="0" ref="B18:M18">SUM(B13:B17)</f>
        <v>219437</v>
      </c>
      <c r="C18" s="66">
        <f t="shared" si="0"/>
        <v>0</v>
      </c>
      <c r="D18" s="66">
        <f t="shared" si="0"/>
        <v>0</v>
      </c>
      <c r="E18" s="66">
        <f t="shared" si="0"/>
        <v>182235</v>
      </c>
      <c r="F18" s="66">
        <f t="shared" si="0"/>
        <v>0</v>
      </c>
      <c r="G18" s="66">
        <f t="shared" si="0"/>
        <v>0</v>
      </c>
      <c r="H18" s="66">
        <f t="shared" si="0"/>
        <v>206123</v>
      </c>
      <c r="I18" s="66">
        <f t="shared" si="0"/>
        <v>0</v>
      </c>
      <c r="J18" s="66">
        <f t="shared" si="0"/>
        <v>0</v>
      </c>
      <c r="K18" s="66">
        <f t="shared" si="0"/>
        <v>134486</v>
      </c>
      <c r="L18" s="66">
        <f t="shared" si="0"/>
        <v>0</v>
      </c>
      <c r="M18" s="66">
        <f t="shared" si="0"/>
        <v>0</v>
      </c>
    </row>
    <row r="19" spans="1:13" ht="12" customHeight="1">
      <c r="A19" s="353" t="s">
        <v>800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3" ht="12" customHeight="1">
      <c r="A20" s="353" t="s">
        <v>801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1:13" ht="24">
      <c r="A21" s="339" t="s">
        <v>799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</row>
    <row r="22" spans="1:13" s="189" customFormat="1" ht="12" customHeight="1">
      <c r="A22" s="351" t="s">
        <v>719</v>
      </c>
      <c r="B22" s="66">
        <f aca="true" t="shared" si="1" ref="B22:M22">SUM(B19:B21)</f>
        <v>0</v>
      </c>
      <c r="C22" s="66">
        <f t="shared" si="1"/>
        <v>0</v>
      </c>
      <c r="D22" s="66">
        <f t="shared" si="1"/>
        <v>0</v>
      </c>
      <c r="E22" s="66">
        <f t="shared" si="1"/>
        <v>0</v>
      </c>
      <c r="F22" s="66">
        <f t="shared" si="1"/>
        <v>0</v>
      </c>
      <c r="G22" s="66">
        <f t="shared" si="1"/>
        <v>0</v>
      </c>
      <c r="H22" s="66">
        <f t="shared" si="1"/>
        <v>0</v>
      </c>
      <c r="I22" s="66">
        <f t="shared" si="1"/>
        <v>0</v>
      </c>
      <c r="J22" s="66">
        <f t="shared" si="1"/>
        <v>0</v>
      </c>
      <c r="K22" s="66">
        <f t="shared" si="1"/>
        <v>0</v>
      </c>
      <c r="L22" s="66">
        <f t="shared" si="1"/>
        <v>0</v>
      </c>
      <c r="M22" s="66">
        <f t="shared" si="1"/>
        <v>0</v>
      </c>
    </row>
    <row r="23" spans="1:13" s="189" customFormat="1" ht="12" customHeight="1">
      <c r="A23" s="358" t="s">
        <v>720</v>
      </c>
      <c r="B23" s="66">
        <f aca="true" t="shared" si="2" ref="B23:M23">SUM(B18+B22)</f>
        <v>219437</v>
      </c>
      <c r="C23" s="66">
        <f t="shared" si="2"/>
        <v>0</v>
      </c>
      <c r="D23" s="66">
        <f t="shared" si="2"/>
        <v>0</v>
      </c>
      <c r="E23" s="66">
        <f t="shared" si="2"/>
        <v>182235</v>
      </c>
      <c r="F23" s="66">
        <f t="shared" si="2"/>
        <v>0</v>
      </c>
      <c r="G23" s="66">
        <f t="shared" si="2"/>
        <v>0</v>
      </c>
      <c r="H23" s="66">
        <f t="shared" si="2"/>
        <v>206123</v>
      </c>
      <c r="I23" s="66">
        <f t="shared" si="2"/>
        <v>0</v>
      </c>
      <c r="J23" s="66">
        <f t="shared" si="2"/>
        <v>0</v>
      </c>
      <c r="K23" s="66">
        <f t="shared" si="2"/>
        <v>134486</v>
      </c>
      <c r="L23" s="66">
        <f t="shared" si="2"/>
        <v>0</v>
      </c>
      <c r="M23" s="66">
        <f t="shared" si="2"/>
        <v>0</v>
      </c>
    </row>
    <row r="24" spans="1:13" s="189" customFormat="1" ht="12" customHeight="1">
      <c r="A24" s="351" t="s">
        <v>721</v>
      </c>
      <c r="B24" s="66"/>
      <c r="C24" s="66"/>
      <c r="D24" s="65"/>
      <c r="E24" s="66"/>
      <c r="F24" s="66"/>
      <c r="G24" s="65"/>
      <c r="H24" s="66"/>
      <c r="I24" s="66"/>
      <c r="J24" s="65"/>
      <c r="K24" s="66"/>
      <c r="L24" s="66"/>
      <c r="M24" s="65"/>
    </row>
    <row r="25" spans="1:13" ht="22.5">
      <c r="A25" s="1303" t="s">
        <v>422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22.5">
      <c r="A26" s="1303" t="s">
        <v>448</v>
      </c>
      <c r="B26" s="65">
        <f>413+7171</f>
        <v>7584</v>
      </c>
      <c r="C26" s="65"/>
      <c r="D26" s="65"/>
      <c r="E26" s="65">
        <f>125+9757</f>
        <v>9882</v>
      </c>
      <c r="F26" s="65"/>
      <c r="G26" s="65"/>
      <c r="H26" s="65">
        <f>373+11447-3647</f>
        <v>8173</v>
      </c>
      <c r="I26" s="65"/>
      <c r="J26" s="65"/>
      <c r="K26" s="65">
        <f>+695+5607</f>
        <v>6302</v>
      </c>
      <c r="L26" s="65"/>
      <c r="M26" s="65"/>
    </row>
    <row r="27" spans="1:13" ht="12.75">
      <c r="A27" s="353" t="s">
        <v>449</v>
      </c>
      <c r="B27" s="65"/>
      <c r="C27" s="65"/>
      <c r="D27" s="65"/>
      <c r="E27" s="65"/>
      <c r="F27" s="65"/>
      <c r="G27" s="65"/>
      <c r="H27" s="65">
        <v>3647</v>
      </c>
      <c r="I27" s="65"/>
      <c r="J27" s="65"/>
      <c r="K27" s="65"/>
      <c r="L27" s="65"/>
      <c r="M27" s="65"/>
    </row>
    <row r="28" spans="1:13" ht="12.75">
      <c r="A28" s="353" t="s">
        <v>136</v>
      </c>
      <c r="B28" s="65">
        <v>1434</v>
      </c>
      <c r="C28" s="65"/>
      <c r="D28" s="65"/>
      <c r="E28" s="65">
        <v>1952</v>
      </c>
      <c r="F28" s="65"/>
      <c r="G28" s="65"/>
      <c r="H28" s="65">
        <v>2289</v>
      </c>
      <c r="I28" s="65"/>
      <c r="J28" s="65"/>
      <c r="K28" s="65">
        <v>1121</v>
      </c>
      <c r="L28" s="65"/>
      <c r="M28" s="65"/>
    </row>
    <row r="29" spans="1:13" ht="12.75">
      <c r="A29" s="353" t="s">
        <v>137</v>
      </c>
      <c r="C29" s="65"/>
      <c r="D29" s="65"/>
      <c r="F29" s="65"/>
      <c r="G29" s="65"/>
      <c r="I29" s="65"/>
      <c r="J29" s="65"/>
      <c r="L29" s="65"/>
      <c r="M29" s="65"/>
    </row>
    <row r="30" spans="1:13" ht="24">
      <c r="A30" s="339" t="s">
        <v>794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</row>
    <row r="31" spans="1:13" ht="24">
      <c r="A31" s="482" t="s">
        <v>795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</row>
    <row r="32" spans="1:13" ht="12.75">
      <c r="A32" s="353" t="s">
        <v>796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3" ht="12.75">
      <c r="A33" s="353" t="s">
        <v>797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</row>
    <row r="34" spans="1:13" ht="12.75">
      <c r="A34" s="353" t="s">
        <v>798</v>
      </c>
      <c r="B34" s="65">
        <f aca="true" t="shared" si="3" ref="B34:M34">+B23-B25-B26-B27-B28-B30-B31-B32-B33-B29</f>
        <v>210419</v>
      </c>
      <c r="C34" s="65">
        <f t="shared" si="3"/>
        <v>0</v>
      </c>
      <c r="D34" s="65">
        <f t="shared" si="3"/>
        <v>0</v>
      </c>
      <c r="E34" s="65">
        <f t="shared" si="3"/>
        <v>170401</v>
      </c>
      <c r="F34" s="65">
        <f t="shared" si="3"/>
        <v>0</v>
      </c>
      <c r="G34" s="65">
        <f t="shared" si="3"/>
        <v>0</v>
      </c>
      <c r="H34" s="65">
        <f t="shared" si="3"/>
        <v>192014</v>
      </c>
      <c r="I34" s="65">
        <f t="shared" si="3"/>
        <v>0</v>
      </c>
      <c r="J34" s="65">
        <f t="shared" si="3"/>
        <v>0</v>
      </c>
      <c r="K34" s="65">
        <f t="shared" si="3"/>
        <v>127063</v>
      </c>
      <c r="L34" s="65">
        <f t="shared" si="3"/>
        <v>0</v>
      </c>
      <c r="M34" s="65">
        <f t="shared" si="3"/>
        <v>0</v>
      </c>
    </row>
    <row r="35" spans="1:13" ht="12.75">
      <c r="A35" s="1300" t="s">
        <v>197</v>
      </c>
      <c r="B35" s="65">
        <v>75512</v>
      </c>
      <c r="C35" s="65"/>
      <c r="D35" s="65"/>
      <c r="E35" s="65">
        <v>89045</v>
      </c>
      <c r="F35" s="65"/>
      <c r="G35" s="65"/>
      <c r="H35" s="65">
        <v>96403</v>
      </c>
      <c r="I35" s="65"/>
      <c r="J35" s="65"/>
      <c r="K35" s="65">
        <v>45730</v>
      </c>
      <c r="L35" s="65"/>
      <c r="M35" s="65"/>
    </row>
    <row r="36" spans="1:13" ht="12" customHeight="1">
      <c r="A36" s="1301" t="s">
        <v>398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spans="1:13" s="189" customFormat="1" ht="12" customHeight="1">
      <c r="A37" s="358" t="s">
        <v>722</v>
      </c>
      <c r="B37" s="66">
        <f aca="true" t="shared" si="4" ref="B37:M37">SUM(B25:B34)</f>
        <v>219437</v>
      </c>
      <c r="C37" s="66">
        <f t="shared" si="4"/>
        <v>0</v>
      </c>
      <c r="D37" s="66">
        <f t="shared" si="4"/>
        <v>0</v>
      </c>
      <c r="E37" s="66">
        <f t="shared" si="4"/>
        <v>182235</v>
      </c>
      <c r="F37" s="66">
        <f t="shared" si="4"/>
        <v>0</v>
      </c>
      <c r="G37" s="66">
        <f t="shared" si="4"/>
        <v>0</v>
      </c>
      <c r="H37" s="66">
        <f t="shared" si="4"/>
        <v>206123</v>
      </c>
      <c r="I37" s="66">
        <f t="shared" si="4"/>
        <v>0</v>
      </c>
      <c r="J37" s="66">
        <f t="shared" si="4"/>
        <v>0</v>
      </c>
      <c r="K37" s="66">
        <f t="shared" si="4"/>
        <v>134486</v>
      </c>
      <c r="L37" s="66">
        <f t="shared" si="4"/>
        <v>0</v>
      </c>
      <c r="M37" s="66">
        <f t="shared" si="4"/>
        <v>0</v>
      </c>
    </row>
    <row r="39" spans="2:11" ht="12.75">
      <c r="B39" s="134"/>
      <c r="E39" s="134"/>
      <c r="H39" s="134"/>
      <c r="K39" s="134"/>
    </row>
  </sheetData>
  <printOptions horizontalCentered="1"/>
  <pageMargins left="0.3937007874015748" right="0.3937007874015748" top="0.31496062992125984" bottom="0.5118110236220472" header="0.31496062992125984" footer="0"/>
  <pageSetup horizontalDpi="300" verticalDpi="300" orientation="landscape" paperSize="9" r:id="rId1"/>
  <headerFooter alignWithMargins="0">
    <oddHeader>&amp;C&amp;"Times New Roman,Normál"&amp;8 7&amp;R&amp;"Times New Roman,Normál"6/a. számú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A1">
      <pane xSplit="1" ySplit="8" topLeftCell="F30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M35" sqref="M35"/>
    </sheetView>
  </sheetViews>
  <sheetFormatPr defaultColWidth="9.140625" defaultRowHeight="12.75"/>
  <cols>
    <col min="1" max="1" width="28.8515625" style="27" customWidth="1"/>
    <col min="2" max="2" width="9.28125" style="27" customWidth="1"/>
    <col min="3" max="3" width="8.7109375" style="27" customWidth="1"/>
    <col min="4" max="4" width="9.421875" style="27" bestFit="1" customWidth="1"/>
    <col min="5" max="5" width="9.28125" style="27" customWidth="1"/>
    <col min="6" max="6" width="8.7109375" style="27" customWidth="1"/>
    <col min="7" max="7" width="9.421875" style="27" bestFit="1" customWidth="1"/>
    <col min="8" max="8" width="9.28125" style="27" customWidth="1"/>
    <col min="9" max="9" width="8.7109375" style="27" customWidth="1"/>
    <col min="10" max="10" width="9.421875" style="27" bestFit="1" customWidth="1"/>
    <col min="11" max="11" width="9.28125" style="27" customWidth="1"/>
    <col min="12" max="12" width="8.7109375" style="27" customWidth="1"/>
    <col min="13" max="13" width="9.421875" style="27" bestFit="1" customWidth="1"/>
  </cols>
  <sheetData>
    <row r="1" ht="12" customHeight="1"/>
    <row r="2" spans="1:13" ht="18.75">
      <c r="A2" s="37" t="s">
        <v>132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</row>
    <row r="3" spans="12:13" ht="8.25" customHeight="1">
      <c r="L3" s="809" t="s">
        <v>128</v>
      </c>
      <c r="M3" s="809"/>
    </row>
    <row r="4" spans="1:13" ht="12" customHeight="1">
      <c r="A4" s="1251" t="s">
        <v>777</v>
      </c>
      <c r="B4" s="1295">
        <v>29</v>
      </c>
      <c r="C4" s="179"/>
      <c r="D4" s="129"/>
      <c r="E4" s="1295">
        <v>30</v>
      </c>
      <c r="F4" s="179"/>
      <c r="G4" s="129"/>
      <c r="H4" s="1295">
        <v>31</v>
      </c>
      <c r="I4" s="179"/>
      <c r="J4" s="129"/>
      <c r="K4" s="1295">
        <v>32</v>
      </c>
      <c r="L4" s="179"/>
      <c r="M4" s="129"/>
    </row>
    <row r="5" spans="1:13" ht="12" customHeight="1">
      <c r="A5" s="1251" t="s">
        <v>463</v>
      </c>
      <c r="B5" s="1251"/>
      <c r="C5" s="180"/>
      <c r="D5" s="181"/>
      <c r="E5" s="1251"/>
      <c r="F5" s="138"/>
      <c r="G5" s="182"/>
      <c r="H5" s="131"/>
      <c r="I5" s="138"/>
      <c r="J5" s="182"/>
      <c r="K5" s="131"/>
      <c r="L5" s="138"/>
      <c r="M5" s="182"/>
    </row>
    <row r="6" spans="1:13" ht="12" customHeight="1">
      <c r="A6" s="1251" t="s">
        <v>778</v>
      </c>
      <c r="B6" s="1295" t="s">
        <v>161</v>
      </c>
      <c r="C6" s="179"/>
      <c r="D6" s="129"/>
      <c r="E6" s="1295" t="s">
        <v>162</v>
      </c>
      <c r="F6" s="179"/>
      <c r="G6" s="129"/>
      <c r="H6" s="1295" t="s">
        <v>163</v>
      </c>
      <c r="I6" s="179"/>
      <c r="J6" s="129"/>
      <c r="K6" s="1295" t="s">
        <v>164</v>
      </c>
      <c r="L6" s="179"/>
      <c r="M6" s="129"/>
    </row>
    <row r="7" spans="1:13" ht="12" customHeight="1">
      <c r="A7" s="1251" t="s">
        <v>781</v>
      </c>
      <c r="B7" s="1295">
        <v>801214</v>
      </c>
      <c r="C7" s="179"/>
      <c r="D7" s="129"/>
      <c r="E7" s="1295">
        <v>801214</v>
      </c>
      <c r="F7" s="179"/>
      <c r="G7" s="129"/>
      <c r="H7" s="1295">
        <v>801214</v>
      </c>
      <c r="I7" s="179"/>
      <c r="J7" s="129"/>
      <c r="K7" s="1295">
        <v>801214</v>
      </c>
      <c r="L7" s="179"/>
      <c r="M7" s="129"/>
    </row>
    <row r="8" spans="1:13" ht="12" customHeight="1">
      <c r="A8" s="1297" t="s">
        <v>782</v>
      </c>
      <c r="B8" s="1298" t="s">
        <v>783</v>
      </c>
      <c r="C8" s="183"/>
      <c r="D8" s="184"/>
      <c r="E8" s="1298"/>
      <c r="F8" s="183"/>
      <c r="G8" s="184"/>
      <c r="H8" s="1298"/>
      <c r="I8" s="183"/>
      <c r="J8" s="184"/>
      <c r="K8" s="1298"/>
      <c r="L8" s="183"/>
      <c r="M8" s="184"/>
    </row>
    <row r="9" spans="1:13" s="187" customFormat="1" ht="31.5">
      <c r="A9" s="1302" t="s">
        <v>784</v>
      </c>
      <c r="B9" s="1299" t="s">
        <v>249</v>
      </c>
      <c r="C9" s="812"/>
      <c r="D9" s="1299"/>
      <c r="E9" s="1299" t="s">
        <v>249</v>
      </c>
      <c r="F9" s="812"/>
      <c r="G9" s="1299"/>
      <c r="H9" s="1299" t="s">
        <v>249</v>
      </c>
      <c r="I9" s="812"/>
      <c r="J9" s="1299"/>
      <c r="K9" s="1299" t="s">
        <v>249</v>
      </c>
      <c r="L9" s="812"/>
      <c r="M9" s="1299"/>
    </row>
    <row r="10" spans="1:13" ht="9.75" customHeight="1">
      <c r="A10" s="329" t="s">
        <v>524</v>
      </c>
      <c r="B10" s="32" t="s">
        <v>525</v>
      </c>
      <c r="C10" s="31" t="s">
        <v>526</v>
      </c>
      <c r="D10" s="31" t="s">
        <v>729</v>
      </c>
      <c r="E10" s="31" t="s">
        <v>730</v>
      </c>
      <c r="F10" s="31" t="s">
        <v>731</v>
      </c>
      <c r="G10" s="31" t="s">
        <v>732</v>
      </c>
      <c r="H10" s="31" t="s">
        <v>733</v>
      </c>
      <c r="I10" s="31" t="s">
        <v>734</v>
      </c>
      <c r="J10" s="31" t="s">
        <v>735</v>
      </c>
      <c r="K10" s="31" t="s">
        <v>736</v>
      </c>
      <c r="L10" s="31" t="s">
        <v>737</v>
      </c>
      <c r="M10" s="31" t="s">
        <v>738</v>
      </c>
    </row>
    <row r="11" spans="1:13" ht="12" customHeight="1">
      <c r="A11" s="353" t="s">
        <v>785</v>
      </c>
      <c r="B11" s="188">
        <v>45.5</v>
      </c>
      <c r="C11" s="188"/>
      <c r="D11" s="188"/>
      <c r="E11" s="188">
        <v>30</v>
      </c>
      <c r="F11" s="188"/>
      <c r="G11" s="188"/>
      <c r="H11" s="188">
        <v>47</v>
      </c>
      <c r="I11" s="188"/>
      <c r="J11" s="188"/>
      <c r="K11" s="188">
        <v>56.5</v>
      </c>
      <c r="L11" s="188"/>
      <c r="M11" s="188"/>
    </row>
    <row r="12" spans="1:13" s="189" customFormat="1" ht="12" customHeight="1">
      <c r="A12" s="351" t="s">
        <v>786</v>
      </c>
      <c r="B12" s="66"/>
      <c r="C12" s="66"/>
      <c r="D12" s="188"/>
      <c r="E12" s="66"/>
      <c r="F12" s="66"/>
      <c r="G12" s="188"/>
      <c r="H12" s="66"/>
      <c r="I12" s="66"/>
      <c r="J12" s="188"/>
      <c r="K12" s="66"/>
      <c r="L12" s="66"/>
      <c r="M12" s="188"/>
    </row>
    <row r="13" spans="1:13" ht="12" customHeight="1">
      <c r="A13" s="353" t="s">
        <v>787</v>
      </c>
      <c r="B13" s="65">
        <v>105448</v>
      </c>
      <c r="C13" s="65"/>
      <c r="D13" s="65"/>
      <c r="E13" s="65">
        <v>75014</v>
      </c>
      <c r="F13" s="65"/>
      <c r="G13" s="65"/>
      <c r="H13" s="65">
        <v>110431</v>
      </c>
      <c r="I13" s="65"/>
      <c r="J13" s="65"/>
      <c r="K13" s="65">
        <v>139371</v>
      </c>
      <c r="L13" s="65"/>
      <c r="M13" s="65"/>
    </row>
    <row r="14" spans="1:13" ht="12" customHeight="1">
      <c r="A14" s="353" t="s">
        <v>125</v>
      </c>
      <c r="B14" s="65">
        <v>33924</v>
      </c>
      <c r="C14" s="65"/>
      <c r="D14" s="65"/>
      <c r="E14" s="65">
        <v>23946</v>
      </c>
      <c r="F14" s="65"/>
      <c r="G14" s="65"/>
      <c r="H14" s="65">
        <v>35529</v>
      </c>
      <c r="I14" s="65"/>
      <c r="J14" s="65"/>
      <c r="K14" s="65">
        <v>45111</v>
      </c>
      <c r="L14" s="65"/>
      <c r="M14" s="65"/>
    </row>
    <row r="15" spans="1:13" ht="12" customHeight="1">
      <c r="A15" s="353" t="s">
        <v>126</v>
      </c>
      <c r="B15" s="65">
        <f>'[3]Megadott keretszámos'!$BL$12</f>
        <v>38249</v>
      </c>
      <c r="C15" s="65"/>
      <c r="D15" s="65"/>
      <c r="E15" s="65">
        <f>'[3]Megadott keretszámos'!$BL$13</f>
        <v>28066</v>
      </c>
      <c r="F15" s="65"/>
      <c r="G15" s="65"/>
      <c r="H15" s="65">
        <f>'[3]Megadott keretszámos'!$BL$14</f>
        <v>42561</v>
      </c>
      <c r="I15" s="65"/>
      <c r="J15" s="65"/>
      <c r="K15" s="65">
        <f>'[3]Megadott keretszámos'!$BL$15</f>
        <v>45725</v>
      </c>
      <c r="L15" s="65"/>
      <c r="M15" s="65"/>
    </row>
    <row r="16" spans="1:13" ht="22.5">
      <c r="A16" s="1303" t="s">
        <v>421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ht="12.75">
      <c r="A17" s="353" t="s">
        <v>135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13" s="189" customFormat="1" ht="12.75">
      <c r="A18" s="351" t="s">
        <v>127</v>
      </c>
      <c r="B18" s="66">
        <f aca="true" t="shared" si="0" ref="B18:M18">SUM(B13:B17)</f>
        <v>177621</v>
      </c>
      <c r="C18" s="66">
        <f t="shared" si="0"/>
        <v>0</v>
      </c>
      <c r="D18" s="66">
        <f t="shared" si="0"/>
        <v>0</v>
      </c>
      <c r="E18" s="66">
        <f t="shared" si="0"/>
        <v>127026</v>
      </c>
      <c r="F18" s="66">
        <f t="shared" si="0"/>
        <v>0</v>
      </c>
      <c r="G18" s="66">
        <f t="shared" si="0"/>
        <v>0</v>
      </c>
      <c r="H18" s="66">
        <f t="shared" si="0"/>
        <v>188521</v>
      </c>
      <c r="I18" s="66">
        <f t="shared" si="0"/>
        <v>0</v>
      </c>
      <c r="J18" s="66">
        <f t="shared" si="0"/>
        <v>0</v>
      </c>
      <c r="K18" s="66">
        <f t="shared" si="0"/>
        <v>230207</v>
      </c>
      <c r="L18" s="66">
        <f t="shared" si="0"/>
        <v>0</v>
      </c>
      <c r="M18" s="66">
        <f t="shared" si="0"/>
        <v>0</v>
      </c>
    </row>
    <row r="19" spans="1:13" ht="12.75">
      <c r="A19" s="353" t="s">
        <v>800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3" ht="12.75">
      <c r="A20" s="353" t="s">
        <v>801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1:13" ht="24">
      <c r="A21" s="339" t="s">
        <v>799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</row>
    <row r="22" spans="1:13" s="189" customFormat="1" ht="12.75">
      <c r="A22" s="351" t="s">
        <v>719</v>
      </c>
      <c r="B22" s="66">
        <f aca="true" t="shared" si="1" ref="B22:M22">SUM(B19:B21)</f>
        <v>0</v>
      </c>
      <c r="C22" s="66">
        <f t="shared" si="1"/>
        <v>0</v>
      </c>
      <c r="D22" s="66">
        <f t="shared" si="1"/>
        <v>0</v>
      </c>
      <c r="E22" s="66">
        <f t="shared" si="1"/>
        <v>0</v>
      </c>
      <c r="F22" s="66">
        <f t="shared" si="1"/>
        <v>0</v>
      </c>
      <c r="G22" s="66">
        <f t="shared" si="1"/>
        <v>0</v>
      </c>
      <c r="H22" s="66">
        <f t="shared" si="1"/>
        <v>0</v>
      </c>
      <c r="I22" s="66">
        <f t="shared" si="1"/>
        <v>0</v>
      </c>
      <c r="J22" s="66">
        <f t="shared" si="1"/>
        <v>0</v>
      </c>
      <c r="K22" s="66">
        <f t="shared" si="1"/>
        <v>0</v>
      </c>
      <c r="L22" s="66">
        <f t="shared" si="1"/>
        <v>0</v>
      </c>
      <c r="M22" s="66">
        <f t="shared" si="1"/>
        <v>0</v>
      </c>
    </row>
    <row r="23" spans="1:13" s="189" customFormat="1" ht="12.75">
      <c r="A23" s="358" t="s">
        <v>720</v>
      </c>
      <c r="B23" s="66">
        <f aca="true" t="shared" si="2" ref="B23:M23">SUM(B18+B22)</f>
        <v>177621</v>
      </c>
      <c r="C23" s="66">
        <f t="shared" si="2"/>
        <v>0</v>
      </c>
      <c r="D23" s="66">
        <f t="shared" si="2"/>
        <v>0</v>
      </c>
      <c r="E23" s="66">
        <f t="shared" si="2"/>
        <v>127026</v>
      </c>
      <c r="F23" s="66">
        <f t="shared" si="2"/>
        <v>0</v>
      </c>
      <c r="G23" s="66">
        <f t="shared" si="2"/>
        <v>0</v>
      </c>
      <c r="H23" s="66">
        <f t="shared" si="2"/>
        <v>188521</v>
      </c>
      <c r="I23" s="66">
        <f t="shared" si="2"/>
        <v>0</v>
      </c>
      <c r="J23" s="66">
        <f t="shared" si="2"/>
        <v>0</v>
      </c>
      <c r="K23" s="66">
        <f t="shared" si="2"/>
        <v>230207</v>
      </c>
      <c r="L23" s="66">
        <f t="shared" si="2"/>
        <v>0</v>
      </c>
      <c r="M23" s="66">
        <f t="shared" si="2"/>
        <v>0</v>
      </c>
    </row>
    <row r="24" spans="1:13" s="189" customFormat="1" ht="12.75">
      <c r="A24" s="351" t="s">
        <v>721</v>
      </c>
      <c r="B24" s="66"/>
      <c r="C24" s="66"/>
      <c r="D24" s="65"/>
      <c r="E24" s="66"/>
      <c r="F24" s="66"/>
      <c r="G24" s="65"/>
      <c r="H24" s="66"/>
      <c r="I24" s="66"/>
      <c r="J24" s="65"/>
      <c r="K24" s="66"/>
      <c r="L24" s="66"/>
      <c r="M24" s="65"/>
    </row>
    <row r="25" spans="1:13" ht="24">
      <c r="A25" s="339" t="s">
        <v>422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24">
      <c r="A26" s="339" t="s">
        <v>448</v>
      </c>
      <c r="B26" s="65">
        <f>324+7433</f>
        <v>7757</v>
      </c>
      <c r="C26" s="65"/>
      <c r="D26" s="65"/>
      <c r="E26" s="65">
        <f>423+4452</f>
        <v>4875</v>
      </c>
      <c r="F26" s="65"/>
      <c r="G26" s="65"/>
      <c r="H26" s="65">
        <f>355+4475</f>
        <v>4830</v>
      </c>
      <c r="I26" s="65"/>
      <c r="J26" s="65"/>
      <c r="K26" s="65">
        <f>898+8824</f>
        <v>9722</v>
      </c>
      <c r="L26" s="65"/>
      <c r="M26" s="65"/>
    </row>
    <row r="27" spans="1:13" ht="12.75">
      <c r="A27" s="353" t="s">
        <v>449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8" spans="1:13" ht="12.75">
      <c r="A28" s="353" t="s">
        <v>136</v>
      </c>
      <c r="B28" s="65">
        <v>1487</v>
      </c>
      <c r="C28" s="65"/>
      <c r="D28" s="65"/>
      <c r="E28" s="65">
        <v>890</v>
      </c>
      <c r="F28" s="65"/>
      <c r="G28" s="65"/>
      <c r="H28" s="65">
        <v>895</v>
      </c>
      <c r="I28" s="65"/>
      <c r="J28" s="65"/>
      <c r="K28" s="65">
        <v>1765</v>
      </c>
      <c r="L28" s="65"/>
      <c r="M28" s="65"/>
    </row>
    <row r="29" spans="1:13" ht="12.75">
      <c r="A29" s="353" t="s">
        <v>137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3" ht="22.5">
      <c r="A30" s="1303" t="s">
        <v>794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</row>
    <row r="31" spans="1:13" ht="22.5">
      <c r="A31" s="1304" t="s">
        <v>795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</row>
    <row r="32" spans="1:13" ht="12" customHeight="1">
      <c r="A32" s="353" t="s">
        <v>796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3" ht="12" customHeight="1">
      <c r="A33" s="353" t="s">
        <v>797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</row>
    <row r="34" spans="1:13" ht="12" customHeight="1">
      <c r="A34" s="353" t="s">
        <v>798</v>
      </c>
      <c r="B34" s="65">
        <f aca="true" t="shared" si="3" ref="B34:M34">+B23-B25-B26-B27-B28-B30-B31-B32-B33-B29</f>
        <v>168377</v>
      </c>
      <c r="C34" s="65">
        <f t="shared" si="3"/>
        <v>0</v>
      </c>
      <c r="D34" s="65">
        <f t="shared" si="3"/>
        <v>0</v>
      </c>
      <c r="E34" s="65">
        <f t="shared" si="3"/>
        <v>121261</v>
      </c>
      <c r="F34" s="65">
        <f t="shared" si="3"/>
        <v>0</v>
      </c>
      <c r="G34" s="65">
        <f t="shared" si="3"/>
        <v>0</v>
      </c>
      <c r="H34" s="65">
        <f t="shared" si="3"/>
        <v>182796</v>
      </c>
      <c r="I34" s="65">
        <f t="shared" si="3"/>
        <v>0</v>
      </c>
      <c r="J34" s="65">
        <f t="shared" si="3"/>
        <v>0</v>
      </c>
      <c r="K34" s="65">
        <f t="shared" si="3"/>
        <v>218720</v>
      </c>
      <c r="L34" s="65">
        <f t="shared" si="3"/>
        <v>0</v>
      </c>
      <c r="M34" s="65">
        <f t="shared" si="3"/>
        <v>0</v>
      </c>
    </row>
    <row r="35" spans="1:13" ht="12.75">
      <c r="A35" s="1300" t="s">
        <v>197</v>
      </c>
      <c r="B35" s="65">
        <v>90755</v>
      </c>
      <c r="C35" s="65"/>
      <c r="D35" s="65"/>
      <c r="E35" s="65">
        <v>38392</v>
      </c>
      <c r="F35" s="65"/>
      <c r="G35" s="65"/>
      <c r="H35" s="65">
        <v>69094</v>
      </c>
      <c r="I35" s="65"/>
      <c r="J35" s="65"/>
      <c r="K35" s="65">
        <v>119430</v>
      </c>
      <c r="L35" s="65"/>
      <c r="M35" s="65"/>
    </row>
    <row r="36" spans="1:13" ht="12" customHeight="1">
      <c r="A36" s="1301" t="s">
        <v>398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spans="1:13" s="189" customFormat="1" ht="11.25" customHeight="1">
      <c r="A37" s="358" t="s">
        <v>722</v>
      </c>
      <c r="B37" s="66">
        <f aca="true" t="shared" si="4" ref="B37:M37">SUM(B25:B34)</f>
        <v>177621</v>
      </c>
      <c r="C37" s="66">
        <f t="shared" si="4"/>
        <v>0</v>
      </c>
      <c r="D37" s="66">
        <f t="shared" si="4"/>
        <v>0</v>
      </c>
      <c r="E37" s="66">
        <f t="shared" si="4"/>
        <v>127026</v>
      </c>
      <c r="F37" s="66">
        <f t="shared" si="4"/>
        <v>0</v>
      </c>
      <c r="G37" s="66">
        <f t="shared" si="4"/>
        <v>0</v>
      </c>
      <c r="H37" s="66">
        <f t="shared" si="4"/>
        <v>188521</v>
      </c>
      <c r="I37" s="66">
        <f t="shared" si="4"/>
        <v>0</v>
      </c>
      <c r="J37" s="66">
        <f t="shared" si="4"/>
        <v>0</v>
      </c>
      <c r="K37" s="66">
        <f t="shared" si="4"/>
        <v>230207</v>
      </c>
      <c r="L37" s="66">
        <f t="shared" si="4"/>
        <v>0</v>
      </c>
      <c r="M37" s="66">
        <f t="shared" si="4"/>
        <v>0</v>
      </c>
    </row>
    <row r="39" spans="2:11" ht="12.75">
      <c r="B39" s="134"/>
      <c r="E39" s="134"/>
      <c r="H39" s="134"/>
      <c r="K39" s="134"/>
    </row>
  </sheetData>
  <printOptions horizontalCentered="1"/>
  <pageMargins left="0.3937007874015748" right="0.3937007874015748" top="0.31496062992125984" bottom="0.5118110236220472" header="0.31496062992125984" footer="0"/>
  <pageSetup horizontalDpi="300" verticalDpi="300" orientation="landscape" paperSize="9" r:id="rId1"/>
  <headerFooter alignWithMargins="0">
    <oddHeader>&amp;C&amp;"Times New Roman,Normál"&amp;8 8&amp;R&amp;"Times New Roman,Normál"6/a. számú melléklet.&amp;"MS Sans Serif,Normál"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4"/>
  <dimension ref="A1:F166"/>
  <sheetViews>
    <sheetView workbookViewId="0" topLeftCell="A49">
      <selection activeCell="B57" sqref="B55:B57"/>
    </sheetView>
  </sheetViews>
  <sheetFormatPr defaultColWidth="9.140625" defaultRowHeight="12.75"/>
  <cols>
    <col min="1" max="1" width="3.57421875" style="1096" customWidth="1"/>
    <col min="2" max="2" width="48.28125" style="1096" customWidth="1"/>
    <col min="3" max="4" width="12.421875" style="1196" customWidth="1"/>
    <col min="5" max="5" width="12.140625" style="1196" customWidth="1"/>
    <col min="6" max="16384" width="9.140625" style="1096" customWidth="1"/>
  </cols>
  <sheetData>
    <row r="1" spans="1:5" ht="18.75">
      <c r="A1" s="1363" t="s">
        <v>236</v>
      </c>
      <c r="B1" s="1363"/>
      <c r="C1" s="1363"/>
      <c r="D1" s="1363"/>
      <c r="E1" s="1363"/>
    </row>
    <row r="2" spans="1:5" ht="15.75">
      <c r="A2" s="1362" t="s">
        <v>896</v>
      </c>
      <c r="B2" s="1362"/>
      <c r="C2" s="1362"/>
      <c r="D2" s="1362"/>
      <c r="E2" s="1362"/>
    </row>
    <row r="3" spans="1:5" ht="15.75">
      <c r="A3" s="1362" t="s">
        <v>897</v>
      </c>
      <c r="B3" s="1362"/>
      <c r="C3" s="1362"/>
      <c r="D3" s="1362"/>
      <c r="E3" s="1362"/>
    </row>
    <row r="4" spans="1:5" ht="15.75" customHeight="1">
      <c r="A4" s="1160"/>
      <c r="B4" s="1160"/>
      <c r="C4" s="1160"/>
      <c r="D4" s="1160"/>
      <c r="E4" s="1160"/>
    </row>
    <row r="5" spans="1:5" ht="51">
      <c r="A5" s="1360" t="s">
        <v>129</v>
      </c>
      <c r="B5" s="1361"/>
      <c r="C5" s="1094" t="s">
        <v>952</v>
      </c>
      <c r="D5" s="1094" t="s">
        <v>953</v>
      </c>
      <c r="E5" s="1094" t="s">
        <v>954</v>
      </c>
    </row>
    <row r="6" spans="1:5" ht="12.75">
      <c r="A6" s="1097" t="s">
        <v>955</v>
      </c>
      <c r="B6" s="1097"/>
      <c r="C6" s="1095"/>
      <c r="D6" s="1095"/>
      <c r="E6" s="1095"/>
    </row>
    <row r="7" spans="1:5" ht="12.75">
      <c r="A7" s="1161" t="s">
        <v>956</v>
      </c>
      <c r="B7" s="1161"/>
      <c r="C7" s="1095">
        <v>64403155</v>
      </c>
      <c r="D7" s="1095"/>
      <c r="E7" s="1095">
        <f aca="true" t="shared" si="0" ref="E7:E22">SUM(C7:D7)</f>
        <v>64403155</v>
      </c>
    </row>
    <row r="8" spans="1:5" ht="12.75">
      <c r="A8" s="1162" t="s">
        <v>957</v>
      </c>
      <c r="B8" s="1162"/>
      <c r="C8" s="1095">
        <v>4556200</v>
      </c>
      <c r="D8" s="1095"/>
      <c r="E8" s="1095">
        <f t="shared" si="0"/>
        <v>4556200</v>
      </c>
    </row>
    <row r="9" spans="1:5" ht="12.75">
      <c r="A9" s="1162" t="s">
        <v>958</v>
      </c>
      <c r="B9" s="1162"/>
      <c r="C9" s="1095">
        <v>86477432</v>
      </c>
      <c r="D9" s="1095"/>
      <c r="E9" s="1095">
        <f t="shared" si="0"/>
        <v>86477432</v>
      </c>
    </row>
    <row r="10" spans="1:5" ht="12.75">
      <c r="A10" s="1162" t="s">
        <v>564</v>
      </c>
      <c r="B10" s="1162"/>
      <c r="C10" s="1095">
        <v>331509920</v>
      </c>
      <c r="D10" s="1095"/>
      <c r="E10" s="1095">
        <f t="shared" si="0"/>
        <v>331509920</v>
      </c>
    </row>
    <row r="11" spans="1:5" ht="12.75">
      <c r="A11" s="1162" t="s">
        <v>959</v>
      </c>
      <c r="B11" s="1162"/>
      <c r="C11" s="1095">
        <v>89387200</v>
      </c>
      <c r="D11" s="1095"/>
      <c r="E11" s="1095">
        <f t="shared" si="0"/>
        <v>89387200</v>
      </c>
    </row>
    <row r="12" spans="1:5" ht="12.75">
      <c r="A12" s="1162" t="s">
        <v>960</v>
      </c>
      <c r="B12" s="1162"/>
      <c r="C12" s="1095">
        <v>88221280</v>
      </c>
      <c r="D12" s="1095"/>
      <c r="E12" s="1095">
        <f t="shared" si="0"/>
        <v>88221280</v>
      </c>
    </row>
    <row r="13" spans="1:5" s="1166" customFormat="1" ht="12.75">
      <c r="A13" s="1163" t="s">
        <v>961</v>
      </c>
      <c r="B13" s="1163"/>
      <c r="C13" s="1164">
        <f>SUM(C7:C12)</f>
        <v>664555187</v>
      </c>
      <c r="D13" s="1164">
        <f>SUM(D7:D12)</f>
        <v>0</v>
      </c>
      <c r="E13" s="1165">
        <f t="shared" si="0"/>
        <v>664555187</v>
      </c>
    </row>
    <row r="14" spans="1:5" s="1166" customFormat="1" ht="12.75">
      <c r="A14" s="1167" t="s">
        <v>244</v>
      </c>
      <c r="B14" s="1168"/>
      <c r="C14" s="1095"/>
      <c r="D14" s="1095"/>
      <c r="E14" s="1095">
        <f t="shared" si="0"/>
        <v>0</v>
      </c>
    </row>
    <row r="15" spans="1:5" s="1166" customFormat="1" ht="12.75">
      <c r="A15" s="1169"/>
      <c r="B15" s="1170" t="s">
        <v>962</v>
      </c>
      <c r="C15" s="1095">
        <v>3368800</v>
      </c>
      <c r="D15" s="1095">
        <v>4631200</v>
      </c>
      <c r="E15" s="1095">
        <f t="shared" si="0"/>
        <v>8000000</v>
      </c>
    </row>
    <row r="16" spans="1:5" s="1166" customFormat="1" ht="12.75">
      <c r="A16" s="1169"/>
      <c r="B16" s="1170" t="s">
        <v>228</v>
      </c>
      <c r="C16" s="1095">
        <v>21548080</v>
      </c>
      <c r="D16" s="1095">
        <v>29622854</v>
      </c>
      <c r="E16" s="1095">
        <f t="shared" si="0"/>
        <v>51170934</v>
      </c>
    </row>
    <row r="17" spans="1:5" ht="12.75">
      <c r="A17" s="1169"/>
      <c r="B17" s="1170" t="s">
        <v>963</v>
      </c>
      <c r="C17" s="1095">
        <v>985374</v>
      </c>
      <c r="D17" s="1095">
        <v>1354626</v>
      </c>
      <c r="E17" s="1095">
        <f t="shared" si="0"/>
        <v>2340000</v>
      </c>
    </row>
    <row r="18" spans="1:5" ht="12.75">
      <c r="A18" s="1169"/>
      <c r="B18" s="1170" t="s">
        <v>964</v>
      </c>
      <c r="C18" s="1095">
        <v>2526600</v>
      </c>
      <c r="D18" s="1095">
        <v>3473400</v>
      </c>
      <c r="E18" s="1095">
        <f t="shared" si="0"/>
        <v>6000000</v>
      </c>
    </row>
    <row r="19" spans="1:5" ht="12.75">
      <c r="A19" s="1171"/>
      <c r="B19" s="1170" t="s">
        <v>965</v>
      </c>
      <c r="C19" s="1095">
        <v>17575366</v>
      </c>
      <c r="D19" s="1095">
        <v>24161434</v>
      </c>
      <c r="E19" s="1095">
        <f t="shared" si="0"/>
        <v>41736800</v>
      </c>
    </row>
    <row r="20" spans="1:5" ht="12.75">
      <c r="A20" s="1171"/>
      <c r="B20" s="1170" t="s">
        <v>966</v>
      </c>
      <c r="C20" s="1172">
        <v>4225739</v>
      </c>
      <c r="D20" s="1172">
        <v>5809261</v>
      </c>
      <c r="E20" s="1095">
        <f t="shared" si="0"/>
        <v>10035000</v>
      </c>
    </row>
    <row r="21" spans="1:5" ht="12.75">
      <c r="A21" s="1171"/>
      <c r="B21" s="1170" t="s">
        <v>967</v>
      </c>
      <c r="C21" s="1172">
        <v>673760</v>
      </c>
      <c r="D21" s="1172">
        <v>926240</v>
      </c>
      <c r="E21" s="1095">
        <f t="shared" si="0"/>
        <v>1600000</v>
      </c>
    </row>
    <row r="22" spans="1:5" ht="12.75">
      <c r="A22" s="1171"/>
      <c r="B22" s="1173" t="s">
        <v>688</v>
      </c>
      <c r="C22" s="1095">
        <v>6316500</v>
      </c>
      <c r="D22" s="1095">
        <v>8683500</v>
      </c>
      <c r="E22" s="1095">
        <f t="shared" si="0"/>
        <v>15000000</v>
      </c>
    </row>
    <row r="23" spans="1:5" s="1175" customFormat="1" ht="12.75">
      <c r="A23" s="1171"/>
      <c r="B23" s="1173" t="s">
        <v>565</v>
      </c>
      <c r="C23" s="1174">
        <v>3917072</v>
      </c>
      <c r="D23" s="1172">
        <v>5384928</v>
      </c>
      <c r="E23" s="1172">
        <f aca="true" t="shared" si="1" ref="E23:E39">SUM(C23:D23)</f>
        <v>9302000</v>
      </c>
    </row>
    <row r="24" spans="1:5" s="1175" customFormat="1" ht="13.5" customHeight="1">
      <c r="A24" s="1176" t="s">
        <v>968</v>
      </c>
      <c r="B24" s="1176"/>
      <c r="C24" s="1174"/>
      <c r="D24" s="1172"/>
      <c r="E24" s="1172">
        <f t="shared" si="1"/>
        <v>0</v>
      </c>
    </row>
    <row r="25" spans="1:5" ht="13.5" customHeight="1">
      <c r="A25" s="1177"/>
      <c r="B25" s="1178" t="s">
        <v>969</v>
      </c>
      <c r="C25" s="1095">
        <v>623500</v>
      </c>
      <c r="D25" s="1095">
        <v>826500</v>
      </c>
      <c r="E25" s="1172">
        <f t="shared" si="1"/>
        <v>1450000</v>
      </c>
    </row>
    <row r="26" spans="1:5" s="1175" customFormat="1" ht="13.5" customHeight="1">
      <c r="A26" s="1179"/>
      <c r="B26" s="1173" t="s">
        <v>970</v>
      </c>
      <c r="C26" s="1172">
        <v>54568720</v>
      </c>
      <c r="D26" s="1172">
        <v>72335280</v>
      </c>
      <c r="E26" s="1172">
        <f t="shared" si="1"/>
        <v>126904000</v>
      </c>
    </row>
    <row r="27" spans="1:5" s="1175" customFormat="1" ht="13.5" customHeight="1">
      <c r="A27" s="1180" t="s">
        <v>689</v>
      </c>
      <c r="B27" s="1180"/>
      <c r="C27" s="1172">
        <v>3010000</v>
      </c>
      <c r="D27" s="1172">
        <v>3990000</v>
      </c>
      <c r="E27" s="1172">
        <f t="shared" si="1"/>
        <v>7000000</v>
      </c>
    </row>
    <row r="28" spans="1:5" s="1175" customFormat="1" ht="13.5" customHeight="1">
      <c r="A28" s="1176" t="s">
        <v>239</v>
      </c>
      <c r="B28" s="1176"/>
      <c r="C28" s="1172"/>
      <c r="D28" s="1172"/>
      <c r="E28" s="1172">
        <f t="shared" si="1"/>
        <v>0</v>
      </c>
    </row>
    <row r="29" spans="1:5" s="1175" customFormat="1" ht="12.75">
      <c r="A29" s="1179"/>
      <c r="B29" s="1173" t="s">
        <v>971</v>
      </c>
      <c r="C29" s="1181"/>
      <c r="D29" s="1181">
        <v>533744333</v>
      </c>
      <c r="E29" s="1172">
        <f t="shared" si="1"/>
        <v>533744333</v>
      </c>
    </row>
    <row r="30" spans="1:6" ht="12.75">
      <c r="A30" s="1179"/>
      <c r="B30" s="1173" t="s">
        <v>972</v>
      </c>
      <c r="C30" s="1095"/>
      <c r="D30" s="1095">
        <v>1387499000</v>
      </c>
      <c r="E30" s="1172">
        <f t="shared" si="1"/>
        <v>1387499000</v>
      </c>
      <c r="F30" s="1175"/>
    </row>
    <row r="31" spans="1:6" ht="12.75" customHeight="1">
      <c r="A31" s="1177" t="s">
        <v>240</v>
      </c>
      <c r="B31" s="1167"/>
      <c r="C31" s="1095"/>
      <c r="D31" s="1095"/>
      <c r="E31" s="1172">
        <f t="shared" si="1"/>
        <v>0</v>
      </c>
      <c r="F31" s="1175"/>
    </row>
    <row r="32" spans="1:6" ht="12.75">
      <c r="A32" s="1179"/>
      <c r="B32" s="1173" t="s">
        <v>230</v>
      </c>
      <c r="C32" s="1095"/>
      <c r="D32" s="1095">
        <v>101545600</v>
      </c>
      <c r="E32" s="1172">
        <f t="shared" si="1"/>
        <v>101545600</v>
      </c>
      <c r="F32" s="1175"/>
    </row>
    <row r="33" spans="1:6" ht="12.75">
      <c r="A33" s="1179"/>
      <c r="B33" s="1173" t="s">
        <v>229</v>
      </c>
      <c r="C33" s="1095"/>
      <c r="D33" s="1095">
        <v>91110000</v>
      </c>
      <c r="E33" s="1172">
        <f t="shared" si="1"/>
        <v>91110000</v>
      </c>
      <c r="F33" s="1175"/>
    </row>
    <row r="34" spans="1:6" ht="25.5">
      <c r="A34" s="1171"/>
      <c r="B34" s="1182" t="s">
        <v>231</v>
      </c>
      <c r="C34" s="1095"/>
      <c r="D34" s="1095">
        <v>14180000</v>
      </c>
      <c r="E34" s="1172">
        <f t="shared" si="1"/>
        <v>14180000</v>
      </c>
      <c r="F34" s="1175"/>
    </row>
    <row r="35" spans="1:6" ht="12.75">
      <c r="A35" s="1171"/>
      <c r="B35" s="1182" t="s">
        <v>687</v>
      </c>
      <c r="C35" s="1095"/>
      <c r="D35" s="1095"/>
      <c r="E35" s="1172">
        <v>74872667</v>
      </c>
      <c r="F35" s="1175"/>
    </row>
    <row r="36" spans="1:6" ht="12.75">
      <c r="A36" s="1171"/>
      <c r="B36" s="1182" t="s">
        <v>232</v>
      </c>
      <c r="C36" s="1095"/>
      <c r="D36" s="1095">
        <v>98015667</v>
      </c>
      <c r="E36" s="1172">
        <v>23143000</v>
      </c>
      <c r="F36" s="1175"/>
    </row>
    <row r="37" spans="1:6" ht="12.75" customHeight="1">
      <c r="A37" s="1171"/>
      <c r="B37" s="1182" t="s">
        <v>692</v>
      </c>
      <c r="C37" s="1095"/>
      <c r="D37" s="1095">
        <v>4511520</v>
      </c>
      <c r="E37" s="1172">
        <f t="shared" si="1"/>
        <v>4511520</v>
      </c>
      <c r="F37" s="1175"/>
    </row>
    <row r="38" spans="1:6" ht="12.75">
      <c r="A38" s="1171"/>
      <c r="B38" s="1170" t="s">
        <v>245</v>
      </c>
      <c r="C38" s="1095"/>
      <c r="D38" s="1095">
        <v>9184000</v>
      </c>
      <c r="E38" s="1172">
        <f t="shared" si="1"/>
        <v>9184000</v>
      </c>
      <c r="F38" s="1175"/>
    </row>
    <row r="39" spans="1:6" ht="25.5" customHeight="1">
      <c r="A39" s="1358" t="s">
        <v>233</v>
      </c>
      <c r="B39" s="1359"/>
      <c r="C39" s="1095"/>
      <c r="D39" s="1095">
        <v>144687000</v>
      </c>
      <c r="E39" s="1172">
        <f t="shared" si="1"/>
        <v>144687000</v>
      </c>
      <c r="F39" s="1175"/>
    </row>
    <row r="40" spans="1:5" s="1166" customFormat="1" ht="12.75">
      <c r="A40" s="1163" t="s">
        <v>973</v>
      </c>
      <c r="B40" s="1163"/>
      <c r="C40" s="1164">
        <f>SUM(C14:C39)</f>
        <v>119339511</v>
      </c>
      <c r="D40" s="1164">
        <f>SUM(D14:D39)</f>
        <v>2545676343</v>
      </c>
      <c r="E40" s="1164">
        <f>SUM(E14:E39)</f>
        <v>2665015854</v>
      </c>
    </row>
    <row r="41" spans="1:5" ht="12.75">
      <c r="A41" s="1163" t="s">
        <v>974</v>
      </c>
      <c r="B41" s="1163"/>
      <c r="C41" s="1164">
        <f>SUM(C40,C13)</f>
        <v>783894698</v>
      </c>
      <c r="D41" s="1164">
        <f>SUM(D40,D13)</f>
        <v>2545676343</v>
      </c>
      <c r="E41" s="1164">
        <f>SUM(E40,E13)</f>
        <v>3329571041</v>
      </c>
    </row>
    <row r="42" spans="1:5" ht="12.75">
      <c r="A42" s="1168" t="s">
        <v>975</v>
      </c>
      <c r="B42" s="1168"/>
      <c r="C42" s="1164">
        <f>SUM(C43,C47)</f>
        <v>150947636</v>
      </c>
      <c r="D42" s="1164">
        <f>SUM(D43,D47)</f>
        <v>134565051</v>
      </c>
      <c r="E42" s="1164">
        <f>SUM(E43,E47)</f>
        <v>285512687</v>
      </c>
    </row>
    <row r="43" spans="1:5" ht="12.75">
      <c r="A43" s="1183" t="s">
        <v>976</v>
      </c>
      <c r="B43" s="1178"/>
      <c r="C43" s="1184">
        <f>SUM(C44:C46)</f>
        <v>418474</v>
      </c>
      <c r="D43" s="1184">
        <f>SUM(D44:D46)</f>
        <v>65311526</v>
      </c>
      <c r="E43" s="1184">
        <f>SUM(E44:E46)</f>
        <v>65730000</v>
      </c>
    </row>
    <row r="44" spans="1:5" s="1175" customFormat="1" ht="12.75">
      <c r="A44" s="1179"/>
      <c r="B44" s="1173" t="s">
        <v>977</v>
      </c>
      <c r="C44" s="1184"/>
      <c r="D44" s="1184">
        <v>11739000</v>
      </c>
      <c r="E44" s="1184">
        <f>SUM(C44:D44)</f>
        <v>11739000</v>
      </c>
    </row>
    <row r="45" spans="1:5" s="1175" customFormat="1" ht="12.75">
      <c r="A45" s="1179"/>
      <c r="B45" s="1173" t="s">
        <v>978</v>
      </c>
      <c r="C45" s="1172"/>
      <c r="D45" s="1172">
        <v>53380000</v>
      </c>
      <c r="E45" s="1184">
        <f>SUM(C45:D45)</f>
        <v>53380000</v>
      </c>
    </row>
    <row r="46" spans="1:5" s="1175" customFormat="1" ht="12.75">
      <c r="A46" s="1179"/>
      <c r="B46" s="1173" t="s">
        <v>690</v>
      </c>
      <c r="C46" s="1172">
        <v>418474</v>
      </c>
      <c r="D46" s="1172">
        <v>192526</v>
      </c>
      <c r="E46" s="1184">
        <f>SUM(C46:D46)</f>
        <v>611000</v>
      </c>
    </row>
    <row r="47" spans="1:5" s="1175" customFormat="1" ht="12.75">
      <c r="A47" s="1179" t="s">
        <v>979</v>
      </c>
      <c r="B47" s="1173"/>
      <c r="C47" s="1184">
        <f>SUM(C48:C60)</f>
        <v>150529162</v>
      </c>
      <c r="D47" s="1184">
        <f>SUM(D48:D60)</f>
        <v>69253525</v>
      </c>
      <c r="E47" s="1184">
        <f>SUM(E48:E60)</f>
        <v>219782687</v>
      </c>
    </row>
    <row r="48" spans="1:5" ht="12.75">
      <c r="A48" s="1179"/>
      <c r="B48" s="1173" t="s">
        <v>980</v>
      </c>
      <c r="C48" s="1172">
        <v>16158357</v>
      </c>
      <c r="D48" s="1172">
        <v>7433930</v>
      </c>
      <c r="E48" s="1184">
        <f>SUM(C48:D48)</f>
        <v>23592287</v>
      </c>
    </row>
    <row r="49" spans="1:5" s="1175" customFormat="1" ht="12.75">
      <c r="A49" s="1179"/>
      <c r="B49" s="1173" t="s">
        <v>981</v>
      </c>
      <c r="C49" s="1172">
        <v>489293</v>
      </c>
      <c r="D49" s="1172">
        <v>225107</v>
      </c>
      <c r="E49" s="1184">
        <f aca="true" t="shared" si="2" ref="E49:E60">SUM(C49:D49)</f>
        <v>714400</v>
      </c>
    </row>
    <row r="50" spans="1:5" s="1175" customFormat="1" ht="12.75">
      <c r="A50" s="1179"/>
      <c r="B50" s="1173" t="s">
        <v>213</v>
      </c>
      <c r="C50" s="1172">
        <v>7396920</v>
      </c>
      <c r="D50" s="1172">
        <v>3403080</v>
      </c>
      <c r="E50" s="1172">
        <f t="shared" si="2"/>
        <v>10800000</v>
      </c>
    </row>
    <row r="51" spans="1:5" s="1175" customFormat="1" ht="12.75">
      <c r="A51" s="1179"/>
      <c r="B51" s="1173" t="s">
        <v>410</v>
      </c>
      <c r="C51" s="1172">
        <v>5547690</v>
      </c>
      <c r="D51" s="1172">
        <v>2552310</v>
      </c>
      <c r="E51" s="1172">
        <f t="shared" si="2"/>
        <v>8100000</v>
      </c>
    </row>
    <row r="52" spans="1:5" s="1175" customFormat="1" ht="12.75">
      <c r="A52" s="1179"/>
      <c r="B52" s="1173" t="s">
        <v>243</v>
      </c>
      <c r="C52" s="1172">
        <v>3082050</v>
      </c>
      <c r="D52" s="1172">
        <v>1417950</v>
      </c>
      <c r="E52" s="1172">
        <f t="shared" si="2"/>
        <v>4500000</v>
      </c>
    </row>
    <row r="53" spans="1:5" s="1175" customFormat="1" ht="12.75">
      <c r="A53" s="1179"/>
      <c r="B53" s="1173" t="s">
        <v>691</v>
      </c>
      <c r="C53" s="1174">
        <v>24656400</v>
      </c>
      <c r="D53" s="1172">
        <v>11343600</v>
      </c>
      <c r="E53" s="1172">
        <f t="shared" si="2"/>
        <v>36000000</v>
      </c>
    </row>
    <row r="54" spans="1:5" s="1175" customFormat="1" ht="12.75">
      <c r="A54" s="1179"/>
      <c r="B54" s="1173" t="s">
        <v>241</v>
      </c>
      <c r="C54" s="1172">
        <v>9588600</v>
      </c>
      <c r="D54" s="1172">
        <v>4411400</v>
      </c>
      <c r="E54" s="1184">
        <f t="shared" si="2"/>
        <v>14000000</v>
      </c>
    </row>
    <row r="55" spans="1:5" s="1175" customFormat="1" ht="12.75">
      <c r="A55" s="1179"/>
      <c r="B55" s="1173" t="s">
        <v>242</v>
      </c>
      <c r="C55" s="1172">
        <v>942422</v>
      </c>
      <c r="D55" s="1172">
        <v>433578</v>
      </c>
      <c r="E55" s="1172">
        <f t="shared" si="2"/>
        <v>1376000</v>
      </c>
    </row>
    <row r="56" spans="1:5" s="1175" customFormat="1" ht="12.75">
      <c r="A56" s="1179"/>
      <c r="B56" s="1173" t="s">
        <v>388</v>
      </c>
      <c r="C56" s="1172">
        <v>44381520</v>
      </c>
      <c r="D56" s="1172">
        <v>20418480</v>
      </c>
      <c r="E56" s="1172">
        <f t="shared" si="2"/>
        <v>64800000</v>
      </c>
    </row>
    <row r="57" spans="1:5" s="1175" customFormat="1" ht="12.75">
      <c r="A57" s="1179"/>
      <c r="B57" s="1173" t="s">
        <v>982</v>
      </c>
      <c r="C57" s="1172">
        <v>684900</v>
      </c>
      <c r="D57" s="1172">
        <v>315100</v>
      </c>
      <c r="E57" s="1184">
        <f t="shared" si="2"/>
        <v>1000000</v>
      </c>
    </row>
    <row r="58" spans="1:5" s="1175" customFormat="1" ht="12.75">
      <c r="A58" s="1179"/>
      <c r="B58" s="1173" t="s">
        <v>983</v>
      </c>
      <c r="C58" s="1172">
        <v>15410250</v>
      </c>
      <c r="D58" s="1172">
        <v>7089750</v>
      </c>
      <c r="E58" s="1184">
        <f t="shared" si="2"/>
        <v>22500000</v>
      </c>
    </row>
    <row r="59" spans="1:5" s="1175" customFormat="1" ht="12.75">
      <c r="A59" s="1179"/>
      <c r="B59" s="1173" t="s">
        <v>984</v>
      </c>
      <c r="C59" s="1172">
        <v>3698460</v>
      </c>
      <c r="D59" s="1172">
        <v>1701540</v>
      </c>
      <c r="E59" s="1184">
        <f t="shared" si="2"/>
        <v>5400000</v>
      </c>
    </row>
    <row r="60" spans="1:5" s="1175" customFormat="1" ht="12.75">
      <c r="A60" s="1179"/>
      <c r="B60" s="1173" t="s">
        <v>218</v>
      </c>
      <c r="C60" s="1172">
        <v>18492300</v>
      </c>
      <c r="D60" s="1172">
        <v>8507700</v>
      </c>
      <c r="E60" s="1184">
        <f t="shared" si="2"/>
        <v>27000000</v>
      </c>
    </row>
    <row r="61" spans="1:5" ht="12.75">
      <c r="A61" s="1163" t="s">
        <v>235</v>
      </c>
      <c r="B61" s="1163"/>
      <c r="C61" s="1164">
        <f>SUM(C41:C42)</f>
        <v>934842334</v>
      </c>
      <c r="D61" s="1164">
        <f>SUM(D41:D42)</f>
        <v>2680241394</v>
      </c>
      <c r="E61" s="1164">
        <f>SUM(E41:E42)</f>
        <v>3615083728</v>
      </c>
    </row>
    <row r="62" spans="1:5" ht="12.75">
      <c r="A62" s="1097" t="s">
        <v>985</v>
      </c>
      <c r="B62" s="1097"/>
      <c r="C62" s="1098">
        <v>406447270</v>
      </c>
      <c r="D62" s="1098">
        <v>0</v>
      </c>
      <c r="E62" s="1164">
        <f>SUM(C62:D62)</f>
        <v>406447270</v>
      </c>
    </row>
    <row r="63" spans="1:5" ht="12.75">
      <c r="A63" s="1099"/>
      <c r="B63" s="1100"/>
      <c r="C63" s="1098"/>
      <c r="D63" s="1098"/>
      <c r="E63" s="1164"/>
    </row>
    <row r="64" spans="1:5" ht="12.75">
      <c r="A64" s="1185" t="s">
        <v>986</v>
      </c>
      <c r="B64" s="1185"/>
      <c r="C64" s="1164"/>
      <c r="D64" s="1164"/>
      <c r="E64" s="1164"/>
    </row>
    <row r="65" spans="1:5" s="1186" customFormat="1" ht="12.75">
      <c r="A65" s="1179"/>
      <c r="B65" s="1173" t="s">
        <v>987</v>
      </c>
      <c r="C65" s="1172"/>
      <c r="D65" s="1172">
        <v>4480000</v>
      </c>
      <c r="E65" s="1172">
        <f>SUM(C65:D65)</f>
        <v>4480000</v>
      </c>
    </row>
    <row r="66" spans="1:5" s="1175" customFormat="1" ht="12.75">
      <c r="A66" s="1179"/>
      <c r="B66" s="1173" t="s">
        <v>988</v>
      </c>
      <c r="C66" s="1172"/>
      <c r="D66" s="1172">
        <v>116752000</v>
      </c>
      <c r="E66" s="1172">
        <f>SUM(C66:D66)</f>
        <v>116752000</v>
      </c>
    </row>
    <row r="67" spans="1:5" s="1189" customFormat="1" ht="12.75">
      <c r="A67" s="1187" t="s">
        <v>989</v>
      </c>
      <c r="B67" s="1188"/>
      <c r="C67" s="1165">
        <f>SUM(C65:C66)</f>
        <v>0</v>
      </c>
      <c r="D67" s="1165">
        <f>SUM(D65:D66)</f>
        <v>121232000</v>
      </c>
      <c r="E67" s="1165">
        <f>SUM(E65:E66)</f>
        <v>121232000</v>
      </c>
    </row>
    <row r="68" spans="1:5" ht="12.75">
      <c r="A68" s="1185" t="s">
        <v>990</v>
      </c>
      <c r="B68" s="1185"/>
      <c r="C68" s="1164">
        <f>SUM(C61:C62,C64)</f>
        <v>1341289604</v>
      </c>
      <c r="D68" s="1164">
        <f>SUM(D61:D66)</f>
        <v>2801473394</v>
      </c>
      <c r="E68" s="1164">
        <f>SUM(E61:E62,E67)</f>
        <v>4142762998</v>
      </c>
    </row>
    <row r="69" spans="1:5" ht="12.75">
      <c r="A69" s="1190"/>
      <c r="B69" s="1190"/>
      <c r="C69" s="1191"/>
      <c r="D69" s="1191"/>
      <c r="E69" s="1192"/>
    </row>
    <row r="70" spans="1:5" ht="12.75">
      <c r="A70" s="1190"/>
      <c r="B70" s="1190"/>
      <c r="C70" s="1191"/>
      <c r="D70" s="1191"/>
      <c r="E70" s="1192"/>
    </row>
    <row r="71" spans="1:5" ht="12.75">
      <c r="A71" s="1190"/>
      <c r="B71" s="1190"/>
      <c r="C71" s="1191"/>
      <c r="D71" s="1191"/>
      <c r="E71" s="1192"/>
    </row>
    <row r="72" spans="1:5" ht="12.75">
      <c r="A72" s="1190"/>
      <c r="B72" s="1190"/>
      <c r="C72" s="1191"/>
      <c r="D72" s="1191"/>
      <c r="E72" s="1192"/>
    </row>
    <row r="73" spans="1:6" ht="12.75">
      <c r="A73" s="1193"/>
      <c r="B73" s="1193"/>
      <c r="C73" s="1192"/>
      <c r="D73" s="1192"/>
      <c r="E73" s="1192"/>
      <c r="F73" s="1194"/>
    </row>
    <row r="74" spans="1:6" ht="12.75">
      <c r="A74" s="1193"/>
      <c r="B74" s="1193"/>
      <c r="C74" s="1192"/>
      <c r="D74" s="1192"/>
      <c r="E74" s="1192"/>
      <c r="F74" s="1194"/>
    </row>
    <row r="75" spans="1:6" s="1166" customFormat="1" ht="12.75">
      <c r="A75" s="1195"/>
      <c r="B75" s="1195"/>
      <c r="C75" s="1191"/>
      <c r="D75" s="1191"/>
      <c r="E75" s="1191"/>
      <c r="F75" s="1190"/>
    </row>
    <row r="76" spans="1:6" ht="12.75">
      <c r="A76" s="1193"/>
      <c r="B76" s="1193"/>
      <c r="C76" s="1192"/>
      <c r="D76" s="1192"/>
      <c r="E76" s="1192"/>
      <c r="F76" s="1194"/>
    </row>
    <row r="77" spans="1:6" ht="12.75">
      <c r="A77" s="1193"/>
      <c r="B77" s="1193"/>
      <c r="C77" s="1192"/>
      <c r="D77" s="1192"/>
      <c r="E77" s="1192"/>
      <c r="F77" s="1194"/>
    </row>
    <row r="78" spans="1:6" ht="12.75">
      <c r="A78" s="1193"/>
      <c r="B78" s="1193"/>
      <c r="C78" s="1192"/>
      <c r="D78" s="1192"/>
      <c r="E78" s="1192"/>
      <c r="F78" s="1194"/>
    </row>
    <row r="79" spans="1:6" ht="12.75">
      <c r="A79" s="1190"/>
      <c r="B79" s="1190"/>
      <c r="C79" s="1192"/>
      <c r="D79" s="1192"/>
      <c r="E79" s="1192"/>
      <c r="F79" s="1194"/>
    </row>
    <row r="80" spans="1:6" ht="12.75">
      <c r="A80" s="1194"/>
      <c r="B80" s="1194"/>
      <c r="C80" s="1192"/>
      <c r="D80" s="1192"/>
      <c r="E80" s="1192"/>
      <c r="F80" s="1194"/>
    </row>
    <row r="81" spans="1:6" ht="12.75">
      <c r="A81" s="1194"/>
      <c r="B81" s="1194"/>
      <c r="C81" s="1192"/>
      <c r="D81" s="1192"/>
      <c r="E81" s="1192"/>
      <c r="F81" s="1194"/>
    </row>
    <row r="82" spans="1:6" ht="12.75">
      <c r="A82" s="1194"/>
      <c r="B82" s="1194"/>
      <c r="C82" s="1192"/>
      <c r="D82" s="1192"/>
      <c r="E82" s="1192"/>
      <c r="F82" s="1194"/>
    </row>
    <row r="83" spans="1:6" ht="12.75">
      <c r="A83" s="1194"/>
      <c r="B83" s="1194"/>
      <c r="C83" s="1192"/>
      <c r="D83" s="1192"/>
      <c r="E83" s="1192"/>
      <c r="F83" s="1194"/>
    </row>
    <row r="84" spans="1:6" ht="12.75">
      <c r="A84" s="1194"/>
      <c r="B84" s="1194"/>
      <c r="C84" s="1192"/>
      <c r="D84" s="1192"/>
      <c r="E84" s="1192"/>
      <c r="F84" s="1194"/>
    </row>
    <row r="85" spans="1:6" s="1166" customFormat="1" ht="12.75">
      <c r="A85" s="1190"/>
      <c r="B85" s="1190"/>
      <c r="C85" s="1191"/>
      <c r="D85" s="1191"/>
      <c r="E85" s="1191"/>
      <c r="F85" s="1190"/>
    </row>
    <row r="86" spans="1:6" ht="12.75">
      <c r="A86" s="1190"/>
      <c r="B86" s="1190"/>
      <c r="C86" s="1191"/>
      <c r="D86" s="1191"/>
      <c r="E86" s="1191"/>
      <c r="F86" s="1194"/>
    </row>
    <row r="87" spans="1:6" ht="12.75">
      <c r="A87" s="1194"/>
      <c r="B87" s="1194"/>
      <c r="C87" s="1192"/>
      <c r="D87" s="1192"/>
      <c r="E87" s="1192"/>
      <c r="F87" s="1194"/>
    </row>
    <row r="88" spans="1:6" ht="12.75">
      <c r="A88" s="1194"/>
      <c r="B88" s="1194"/>
      <c r="C88" s="1192"/>
      <c r="D88" s="1192"/>
      <c r="E88" s="1192"/>
      <c r="F88" s="1194"/>
    </row>
    <row r="89" spans="1:6" ht="12.75">
      <c r="A89" s="1194"/>
      <c r="B89" s="1194"/>
      <c r="C89" s="1192"/>
      <c r="D89" s="1192"/>
      <c r="E89" s="1192"/>
      <c r="F89" s="1194"/>
    </row>
    <row r="90" spans="1:6" ht="12.75">
      <c r="A90" s="1194"/>
      <c r="B90" s="1194"/>
      <c r="C90" s="1192"/>
      <c r="D90" s="1192"/>
      <c r="E90" s="1192"/>
      <c r="F90" s="1194"/>
    </row>
    <row r="91" spans="1:6" ht="12.75">
      <c r="A91" s="1194"/>
      <c r="B91" s="1194"/>
      <c r="C91" s="1192"/>
      <c r="D91" s="1192"/>
      <c r="E91" s="1192"/>
      <c r="F91" s="1194"/>
    </row>
    <row r="92" spans="1:6" ht="12.75">
      <c r="A92" s="1194"/>
      <c r="B92" s="1194"/>
      <c r="C92" s="1192"/>
      <c r="D92" s="1192"/>
      <c r="E92" s="1192"/>
      <c r="F92" s="1194"/>
    </row>
    <row r="93" spans="1:6" ht="12.75">
      <c r="A93" s="1194"/>
      <c r="B93" s="1194"/>
      <c r="C93" s="1192"/>
      <c r="D93" s="1192"/>
      <c r="E93" s="1192"/>
      <c r="F93" s="1194"/>
    </row>
    <row r="94" spans="1:6" ht="12.75">
      <c r="A94" s="1194"/>
      <c r="B94" s="1194"/>
      <c r="C94" s="1192"/>
      <c r="D94" s="1192"/>
      <c r="E94" s="1192"/>
      <c r="F94" s="1194"/>
    </row>
    <row r="95" spans="1:6" ht="12.75">
      <c r="A95" s="1194"/>
      <c r="B95" s="1194"/>
      <c r="C95" s="1192"/>
      <c r="D95" s="1192"/>
      <c r="E95" s="1192"/>
      <c r="F95" s="1194"/>
    </row>
    <row r="96" spans="1:6" ht="12.75">
      <c r="A96" s="1194"/>
      <c r="B96" s="1194"/>
      <c r="C96" s="1192"/>
      <c r="D96" s="1192"/>
      <c r="E96" s="1192"/>
      <c r="F96" s="1194"/>
    </row>
    <row r="97" spans="1:6" ht="12.75">
      <c r="A97" s="1194"/>
      <c r="B97" s="1194"/>
      <c r="C97" s="1192"/>
      <c r="D97" s="1192"/>
      <c r="E97" s="1192"/>
      <c r="F97" s="1194"/>
    </row>
    <row r="98" spans="1:6" ht="12.75">
      <c r="A98" s="1194"/>
      <c r="B98" s="1194"/>
      <c r="C98" s="1192"/>
      <c r="D98" s="1192"/>
      <c r="E98" s="1192"/>
      <c r="F98" s="1194"/>
    </row>
    <row r="99" spans="1:6" ht="12.75">
      <c r="A99" s="1194"/>
      <c r="B99" s="1194"/>
      <c r="C99" s="1192"/>
      <c r="D99" s="1192"/>
      <c r="E99" s="1192"/>
      <c r="F99" s="1194"/>
    </row>
    <row r="100" spans="1:6" ht="12.75">
      <c r="A100" s="1194"/>
      <c r="B100" s="1194"/>
      <c r="C100" s="1192"/>
      <c r="D100" s="1192"/>
      <c r="E100" s="1192"/>
      <c r="F100" s="1194"/>
    </row>
    <row r="101" spans="1:6" ht="12.75">
      <c r="A101" s="1194"/>
      <c r="B101" s="1194"/>
      <c r="C101" s="1192"/>
      <c r="D101" s="1192"/>
      <c r="E101" s="1192"/>
      <c r="F101" s="1194"/>
    </row>
    <row r="102" spans="1:6" ht="12.75">
      <c r="A102" s="1194"/>
      <c r="B102" s="1194"/>
      <c r="C102" s="1192"/>
      <c r="D102" s="1192"/>
      <c r="E102" s="1192"/>
      <c r="F102" s="1194"/>
    </row>
    <row r="103" spans="1:6" ht="12.75">
      <c r="A103" s="1194"/>
      <c r="B103" s="1194"/>
      <c r="C103" s="1192"/>
      <c r="D103" s="1192"/>
      <c r="E103" s="1192"/>
      <c r="F103" s="1194"/>
    </row>
    <row r="104" spans="1:6" ht="12.75">
      <c r="A104" s="1194"/>
      <c r="B104" s="1194"/>
      <c r="C104" s="1192"/>
      <c r="D104" s="1192"/>
      <c r="E104" s="1192"/>
      <c r="F104" s="1194"/>
    </row>
    <row r="105" spans="1:6" ht="12.75">
      <c r="A105" s="1194"/>
      <c r="B105" s="1194"/>
      <c r="C105" s="1192"/>
      <c r="D105" s="1192"/>
      <c r="E105" s="1192"/>
      <c r="F105" s="1194"/>
    </row>
    <row r="106" spans="1:6" ht="12.75">
      <c r="A106" s="1194"/>
      <c r="B106" s="1194"/>
      <c r="C106" s="1192"/>
      <c r="D106" s="1192"/>
      <c r="E106" s="1192"/>
      <c r="F106" s="1194"/>
    </row>
    <row r="107" spans="1:6" ht="12.75">
      <c r="A107" s="1194"/>
      <c r="B107" s="1194"/>
      <c r="C107" s="1192"/>
      <c r="D107" s="1192"/>
      <c r="E107" s="1192"/>
      <c r="F107" s="1194"/>
    </row>
    <row r="108" spans="1:6" ht="12.75">
      <c r="A108" s="1194"/>
      <c r="B108" s="1194"/>
      <c r="C108" s="1192"/>
      <c r="D108" s="1192"/>
      <c r="E108" s="1192"/>
      <c r="F108" s="1194"/>
    </row>
    <row r="109" spans="1:6" ht="12.75">
      <c r="A109" s="1194"/>
      <c r="B109" s="1194"/>
      <c r="C109" s="1192"/>
      <c r="D109" s="1192"/>
      <c r="E109" s="1192"/>
      <c r="F109" s="1194"/>
    </row>
    <row r="110" spans="1:6" ht="12.75">
      <c r="A110" s="1194"/>
      <c r="B110" s="1194"/>
      <c r="C110" s="1192"/>
      <c r="D110" s="1192"/>
      <c r="E110" s="1192"/>
      <c r="F110" s="1194"/>
    </row>
    <row r="111" spans="1:6" ht="12.75">
      <c r="A111" s="1194"/>
      <c r="B111" s="1194"/>
      <c r="C111" s="1192"/>
      <c r="D111" s="1192"/>
      <c r="E111" s="1192"/>
      <c r="F111" s="1194"/>
    </row>
    <row r="112" spans="1:6" ht="12.75">
      <c r="A112" s="1194"/>
      <c r="B112" s="1194"/>
      <c r="C112" s="1192"/>
      <c r="D112" s="1192"/>
      <c r="E112" s="1192"/>
      <c r="F112" s="1194"/>
    </row>
    <row r="113" spans="1:6" ht="12.75">
      <c r="A113" s="1194"/>
      <c r="B113" s="1194"/>
      <c r="C113" s="1192"/>
      <c r="D113" s="1192"/>
      <c r="E113" s="1192"/>
      <c r="F113" s="1194"/>
    </row>
    <row r="114" spans="1:6" ht="12.75">
      <c r="A114" s="1194"/>
      <c r="B114" s="1194"/>
      <c r="C114" s="1192"/>
      <c r="D114" s="1192"/>
      <c r="E114" s="1192"/>
      <c r="F114" s="1194"/>
    </row>
    <row r="115" spans="1:6" ht="12.75">
      <c r="A115" s="1194"/>
      <c r="B115" s="1194"/>
      <c r="C115" s="1192"/>
      <c r="D115" s="1192"/>
      <c r="E115" s="1192"/>
      <c r="F115" s="1194"/>
    </row>
    <row r="116" spans="1:6" ht="12.75">
      <c r="A116" s="1194"/>
      <c r="B116" s="1194"/>
      <c r="C116" s="1192"/>
      <c r="D116" s="1192"/>
      <c r="E116" s="1192"/>
      <c r="F116" s="1194"/>
    </row>
    <row r="117" spans="1:6" ht="12.75">
      <c r="A117" s="1194"/>
      <c r="B117" s="1194"/>
      <c r="C117" s="1192"/>
      <c r="D117" s="1192"/>
      <c r="E117" s="1192"/>
      <c r="F117" s="1194"/>
    </row>
    <row r="118" spans="1:6" ht="12.75">
      <c r="A118" s="1194"/>
      <c r="B118" s="1194"/>
      <c r="C118" s="1192"/>
      <c r="D118" s="1192"/>
      <c r="E118" s="1192"/>
      <c r="F118" s="1194"/>
    </row>
    <row r="119" spans="1:6" ht="12.75">
      <c r="A119" s="1194"/>
      <c r="B119" s="1194"/>
      <c r="C119" s="1192"/>
      <c r="D119" s="1192"/>
      <c r="E119" s="1192"/>
      <c r="F119" s="1194"/>
    </row>
    <row r="120" spans="1:6" ht="12.75">
      <c r="A120" s="1194"/>
      <c r="B120" s="1194"/>
      <c r="C120" s="1192"/>
      <c r="D120" s="1192"/>
      <c r="E120" s="1192"/>
      <c r="F120" s="1194"/>
    </row>
    <row r="121" spans="1:6" ht="12.75">
      <c r="A121" s="1194"/>
      <c r="B121" s="1194"/>
      <c r="C121" s="1192"/>
      <c r="D121" s="1192"/>
      <c r="E121" s="1192"/>
      <c r="F121" s="1194"/>
    </row>
    <row r="122" spans="1:6" ht="12.75">
      <c r="A122" s="1194"/>
      <c r="B122" s="1194"/>
      <c r="C122" s="1192"/>
      <c r="D122" s="1192"/>
      <c r="E122" s="1192"/>
      <c r="F122" s="1194"/>
    </row>
    <row r="123" spans="1:6" ht="12.75">
      <c r="A123" s="1194"/>
      <c r="B123" s="1194"/>
      <c r="C123" s="1192"/>
      <c r="D123" s="1192"/>
      <c r="E123" s="1192"/>
      <c r="F123" s="1194"/>
    </row>
    <row r="124" spans="1:6" ht="12.75">
      <c r="A124" s="1194"/>
      <c r="B124" s="1194"/>
      <c r="C124" s="1192"/>
      <c r="D124" s="1192"/>
      <c r="E124" s="1192"/>
      <c r="F124" s="1194"/>
    </row>
    <row r="125" spans="1:6" ht="12.75">
      <c r="A125" s="1194"/>
      <c r="B125" s="1194"/>
      <c r="C125" s="1192"/>
      <c r="D125" s="1192"/>
      <c r="E125" s="1192"/>
      <c r="F125" s="1194"/>
    </row>
    <row r="126" spans="1:6" ht="12.75">
      <c r="A126" s="1194"/>
      <c r="B126" s="1194"/>
      <c r="C126" s="1192"/>
      <c r="D126" s="1192"/>
      <c r="E126" s="1192"/>
      <c r="F126" s="1194"/>
    </row>
    <row r="127" spans="1:6" ht="12.75">
      <c r="A127" s="1194"/>
      <c r="B127" s="1194"/>
      <c r="C127" s="1192"/>
      <c r="D127" s="1192"/>
      <c r="E127" s="1192"/>
      <c r="F127" s="1194"/>
    </row>
    <row r="128" spans="1:6" ht="12.75">
      <c r="A128" s="1194"/>
      <c r="B128" s="1194"/>
      <c r="C128" s="1192"/>
      <c r="D128" s="1192"/>
      <c r="E128" s="1192"/>
      <c r="F128" s="1194"/>
    </row>
    <row r="129" spans="1:6" ht="12.75">
      <c r="A129" s="1194"/>
      <c r="B129" s="1194"/>
      <c r="C129" s="1192"/>
      <c r="D129" s="1192"/>
      <c r="E129" s="1192"/>
      <c r="F129" s="1194"/>
    </row>
    <row r="130" spans="1:6" ht="12.75">
      <c r="A130" s="1194"/>
      <c r="B130" s="1194"/>
      <c r="C130" s="1192"/>
      <c r="D130" s="1192"/>
      <c r="E130" s="1192"/>
      <c r="F130" s="1194"/>
    </row>
    <row r="131" spans="1:6" ht="12.75">
      <c r="A131" s="1194"/>
      <c r="B131" s="1194"/>
      <c r="C131" s="1192"/>
      <c r="D131" s="1192"/>
      <c r="E131" s="1192"/>
      <c r="F131" s="1194"/>
    </row>
    <row r="132" spans="1:6" ht="12.75">
      <c r="A132" s="1194"/>
      <c r="B132" s="1194"/>
      <c r="C132" s="1192"/>
      <c r="D132" s="1192"/>
      <c r="E132" s="1192"/>
      <c r="F132" s="1194"/>
    </row>
    <row r="133" spans="1:6" ht="12.75">
      <c r="A133" s="1194"/>
      <c r="B133" s="1194"/>
      <c r="C133" s="1192"/>
      <c r="D133" s="1192"/>
      <c r="E133" s="1192"/>
      <c r="F133" s="1194"/>
    </row>
    <row r="134" spans="1:6" ht="12.75">
      <c r="A134" s="1194"/>
      <c r="B134" s="1194"/>
      <c r="C134" s="1192"/>
      <c r="D134" s="1192"/>
      <c r="E134" s="1192"/>
      <c r="F134" s="1194"/>
    </row>
    <row r="135" spans="1:6" ht="12.75">
      <c r="A135" s="1194"/>
      <c r="B135" s="1194"/>
      <c r="C135" s="1192"/>
      <c r="D135" s="1192"/>
      <c r="E135" s="1192"/>
      <c r="F135" s="1194"/>
    </row>
    <row r="136" spans="1:6" ht="12.75">
      <c r="A136" s="1194"/>
      <c r="B136" s="1194"/>
      <c r="C136" s="1192"/>
      <c r="D136" s="1192"/>
      <c r="E136" s="1192"/>
      <c r="F136" s="1194"/>
    </row>
    <row r="137" spans="1:6" ht="12.75">
      <c r="A137" s="1194"/>
      <c r="B137" s="1194"/>
      <c r="C137" s="1192"/>
      <c r="D137" s="1192"/>
      <c r="E137" s="1192"/>
      <c r="F137" s="1194"/>
    </row>
    <row r="138" spans="1:6" ht="12.75">
      <c r="A138" s="1194"/>
      <c r="B138" s="1194"/>
      <c r="C138" s="1192"/>
      <c r="D138" s="1192"/>
      <c r="E138" s="1192"/>
      <c r="F138" s="1194"/>
    </row>
    <row r="139" spans="1:6" ht="12.75">
      <c r="A139" s="1194"/>
      <c r="B139" s="1194"/>
      <c r="C139" s="1192"/>
      <c r="D139" s="1192"/>
      <c r="E139" s="1192"/>
      <c r="F139" s="1194"/>
    </row>
    <row r="140" spans="1:6" ht="12.75">
      <c r="A140" s="1194"/>
      <c r="B140" s="1194"/>
      <c r="C140" s="1192"/>
      <c r="D140" s="1192"/>
      <c r="E140" s="1192"/>
      <c r="F140" s="1194"/>
    </row>
    <row r="141" spans="1:6" ht="12.75">
      <c r="A141" s="1194"/>
      <c r="B141" s="1194"/>
      <c r="C141" s="1192"/>
      <c r="D141" s="1192"/>
      <c r="E141" s="1192"/>
      <c r="F141" s="1194"/>
    </row>
    <row r="142" spans="1:6" ht="12.75">
      <c r="A142" s="1194"/>
      <c r="B142" s="1194"/>
      <c r="C142" s="1192"/>
      <c r="D142" s="1192"/>
      <c r="E142" s="1192"/>
      <c r="F142" s="1194"/>
    </row>
    <row r="143" spans="1:6" ht="12.75">
      <c r="A143" s="1194"/>
      <c r="B143" s="1194"/>
      <c r="C143" s="1192"/>
      <c r="D143" s="1192"/>
      <c r="E143" s="1192"/>
      <c r="F143" s="1194"/>
    </row>
    <row r="144" spans="1:6" ht="12.75">
      <c r="A144" s="1194"/>
      <c r="B144" s="1194"/>
      <c r="C144" s="1192"/>
      <c r="D144" s="1192"/>
      <c r="E144" s="1192"/>
      <c r="F144" s="1194"/>
    </row>
    <row r="145" spans="1:6" ht="12.75">
      <c r="A145" s="1194"/>
      <c r="B145" s="1194"/>
      <c r="C145" s="1192"/>
      <c r="D145" s="1192"/>
      <c r="E145" s="1192"/>
      <c r="F145" s="1194"/>
    </row>
    <row r="146" spans="1:6" ht="12.75">
      <c r="A146" s="1194"/>
      <c r="B146" s="1194"/>
      <c r="C146" s="1192"/>
      <c r="D146" s="1192"/>
      <c r="E146" s="1192"/>
      <c r="F146" s="1194"/>
    </row>
    <row r="147" spans="1:6" ht="12.75">
      <c r="A147" s="1194"/>
      <c r="B147" s="1194"/>
      <c r="C147" s="1192"/>
      <c r="D147" s="1192"/>
      <c r="E147" s="1192"/>
      <c r="F147" s="1194"/>
    </row>
    <row r="148" spans="1:6" ht="12.75">
      <c r="A148" s="1194"/>
      <c r="B148" s="1194"/>
      <c r="C148" s="1192"/>
      <c r="D148" s="1192"/>
      <c r="E148" s="1192"/>
      <c r="F148" s="1194"/>
    </row>
    <row r="149" spans="1:6" ht="12.75">
      <c r="A149" s="1194"/>
      <c r="B149" s="1194"/>
      <c r="C149" s="1192"/>
      <c r="D149" s="1192"/>
      <c r="E149" s="1192"/>
      <c r="F149" s="1194"/>
    </row>
    <row r="150" spans="1:6" ht="12.75">
      <c r="A150" s="1194"/>
      <c r="B150" s="1194"/>
      <c r="C150" s="1192"/>
      <c r="D150" s="1192"/>
      <c r="E150" s="1192"/>
      <c r="F150" s="1194"/>
    </row>
    <row r="151" spans="1:6" ht="12.75">
      <c r="A151" s="1194"/>
      <c r="B151" s="1194"/>
      <c r="C151" s="1192"/>
      <c r="D151" s="1192"/>
      <c r="E151" s="1192"/>
      <c r="F151" s="1194"/>
    </row>
    <row r="152" spans="1:6" ht="12.75">
      <c r="A152" s="1194"/>
      <c r="B152" s="1194"/>
      <c r="C152" s="1192"/>
      <c r="D152" s="1192"/>
      <c r="E152" s="1192"/>
      <c r="F152" s="1194"/>
    </row>
    <row r="153" spans="1:6" ht="12.75">
      <c r="A153" s="1194"/>
      <c r="B153" s="1194"/>
      <c r="C153" s="1192"/>
      <c r="D153" s="1192"/>
      <c r="E153" s="1192"/>
      <c r="F153" s="1194"/>
    </row>
    <row r="154" spans="1:6" ht="12.75">
      <c r="A154" s="1194"/>
      <c r="B154" s="1194"/>
      <c r="C154" s="1192"/>
      <c r="D154" s="1192"/>
      <c r="E154" s="1192"/>
      <c r="F154" s="1194"/>
    </row>
    <row r="155" spans="1:6" ht="12.75">
      <c r="A155" s="1194"/>
      <c r="B155" s="1194"/>
      <c r="C155" s="1192"/>
      <c r="D155" s="1192"/>
      <c r="E155" s="1192"/>
      <c r="F155" s="1194"/>
    </row>
    <row r="156" spans="1:6" ht="12.75">
      <c r="A156" s="1194"/>
      <c r="B156" s="1194"/>
      <c r="C156" s="1192"/>
      <c r="D156" s="1192"/>
      <c r="E156" s="1192"/>
      <c r="F156" s="1194"/>
    </row>
    <row r="157" spans="1:6" ht="12.75">
      <c r="A157" s="1194"/>
      <c r="B157" s="1194"/>
      <c r="C157" s="1192"/>
      <c r="D157" s="1192"/>
      <c r="E157" s="1192"/>
      <c r="F157" s="1194"/>
    </row>
    <row r="158" spans="1:6" ht="12.75">
      <c r="A158" s="1194"/>
      <c r="B158" s="1194"/>
      <c r="C158" s="1192"/>
      <c r="D158" s="1192"/>
      <c r="E158" s="1192"/>
      <c r="F158" s="1194"/>
    </row>
    <row r="159" spans="1:6" ht="12.75">
      <c r="A159" s="1194"/>
      <c r="B159" s="1194"/>
      <c r="C159" s="1192"/>
      <c r="D159" s="1192"/>
      <c r="E159" s="1192"/>
      <c r="F159" s="1194"/>
    </row>
    <row r="160" spans="1:6" ht="12.75">
      <c r="A160" s="1194"/>
      <c r="B160" s="1194"/>
      <c r="C160" s="1192"/>
      <c r="D160" s="1192"/>
      <c r="E160" s="1192"/>
      <c r="F160" s="1194"/>
    </row>
    <row r="161" spans="1:6" ht="12.75">
      <c r="A161" s="1194"/>
      <c r="B161" s="1194"/>
      <c r="C161" s="1192"/>
      <c r="D161" s="1192"/>
      <c r="E161" s="1192"/>
      <c r="F161" s="1194"/>
    </row>
    <row r="162" spans="1:6" ht="12.75">
      <c r="A162" s="1194"/>
      <c r="B162" s="1194"/>
      <c r="C162" s="1192"/>
      <c r="D162" s="1192"/>
      <c r="E162" s="1192"/>
      <c r="F162" s="1194"/>
    </row>
    <row r="163" spans="1:6" ht="12.75">
      <c r="A163" s="1194"/>
      <c r="B163" s="1194"/>
      <c r="C163" s="1192"/>
      <c r="D163" s="1192"/>
      <c r="E163" s="1192"/>
      <c r="F163" s="1194"/>
    </row>
    <row r="164" spans="1:6" ht="12.75">
      <c r="A164" s="1194"/>
      <c r="B164" s="1194"/>
      <c r="C164" s="1192"/>
      <c r="D164" s="1192"/>
      <c r="E164" s="1192"/>
      <c r="F164" s="1194"/>
    </row>
    <row r="165" spans="1:6" ht="12.75">
      <c r="A165" s="1194"/>
      <c r="B165" s="1194"/>
      <c r="C165" s="1192"/>
      <c r="D165" s="1192"/>
      <c r="E165" s="1192"/>
      <c r="F165" s="1194"/>
    </row>
    <row r="166" spans="1:6" ht="12.75">
      <c r="A166" s="1194"/>
      <c r="B166" s="1194"/>
      <c r="C166" s="1192"/>
      <c r="D166" s="1192"/>
      <c r="E166" s="1192"/>
      <c r="F166" s="1194"/>
    </row>
  </sheetData>
  <mergeCells count="5">
    <mergeCell ref="A39:B39"/>
    <mergeCell ref="A5:B5"/>
    <mergeCell ref="A3:E3"/>
    <mergeCell ref="A1:E1"/>
    <mergeCell ref="A2:E2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CE,Normál"1/b.  számú melléklet</oddHeader>
    <oddFooter>&amp;L&amp;"Times New Roman CE,Normál"&amp;8&amp;F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A1">
      <pane xSplit="1" ySplit="8" topLeftCell="B30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E36" sqref="E36"/>
    </sheetView>
  </sheetViews>
  <sheetFormatPr defaultColWidth="9.140625" defaultRowHeight="12.75"/>
  <cols>
    <col min="1" max="1" width="28.8515625" style="27" customWidth="1"/>
    <col min="2" max="2" width="9.28125" style="27" customWidth="1"/>
    <col min="3" max="3" width="8.7109375" style="27" customWidth="1"/>
    <col min="4" max="4" width="9.421875" style="27" bestFit="1" customWidth="1"/>
    <col min="5" max="5" width="9.28125" style="27" customWidth="1"/>
    <col min="6" max="6" width="8.7109375" style="27" customWidth="1"/>
    <col min="7" max="7" width="9.421875" style="27" bestFit="1" customWidth="1"/>
    <col min="8" max="8" width="9.28125" style="27" customWidth="1"/>
    <col min="9" max="9" width="8.7109375" style="27" customWidth="1"/>
    <col min="10" max="10" width="9.421875" style="27" bestFit="1" customWidth="1"/>
    <col min="11" max="11" width="9.28125" style="27" customWidth="1"/>
    <col min="12" max="12" width="8.7109375" style="27" customWidth="1"/>
    <col min="13" max="13" width="9.421875" style="27" bestFit="1" customWidth="1"/>
  </cols>
  <sheetData>
    <row r="1" ht="12" customHeight="1"/>
    <row r="2" spans="1:13" ht="18.75">
      <c r="A2" s="37" t="s">
        <v>132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</row>
    <row r="3" spans="12:13" ht="9.75" customHeight="1">
      <c r="L3" s="809" t="s">
        <v>128</v>
      </c>
      <c r="M3" s="809"/>
    </row>
    <row r="4" spans="1:13" ht="12" customHeight="1">
      <c r="A4" s="1251" t="s">
        <v>777</v>
      </c>
      <c r="B4" s="1295">
        <v>33</v>
      </c>
      <c r="C4" s="179"/>
      <c r="D4" s="129"/>
      <c r="E4" s="1295">
        <v>34</v>
      </c>
      <c r="F4" s="179"/>
      <c r="G4" s="129"/>
      <c r="H4" s="1295">
        <v>35</v>
      </c>
      <c r="I4" s="179"/>
      <c r="J4" s="129"/>
      <c r="K4" s="1295">
        <v>36</v>
      </c>
      <c r="L4" s="179"/>
      <c r="M4" s="129"/>
    </row>
    <row r="5" spans="1:13" ht="12" customHeight="1">
      <c r="A5" s="1251" t="s">
        <v>463</v>
      </c>
      <c r="B5" s="1251"/>
      <c r="C5" s="180"/>
      <c r="D5" s="181"/>
      <c r="E5" s="1251"/>
      <c r="F5" s="138"/>
      <c r="G5" s="182"/>
      <c r="H5" s="131"/>
      <c r="I5" s="138"/>
      <c r="J5" s="182"/>
      <c r="K5" s="131"/>
      <c r="L5" s="138"/>
      <c r="M5" s="182"/>
    </row>
    <row r="6" spans="1:13" ht="12" customHeight="1">
      <c r="A6" s="1251" t="s">
        <v>778</v>
      </c>
      <c r="B6" s="1295" t="s">
        <v>165</v>
      </c>
      <c r="C6" s="179"/>
      <c r="D6" s="129"/>
      <c r="E6" s="1295" t="s">
        <v>166</v>
      </c>
      <c r="F6" s="179"/>
      <c r="G6" s="129"/>
      <c r="H6" s="1295" t="s">
        <v>608</v>
      </c>
      <c r="I6" s="179"/>
      <c r="J6" s="129"/>
      <c r="K6" s="1295" t="s">
        <v>833</v>
      </c>
      <c r="L6" s="179"/>
      <c r="M6" s="129"/>
    </row>
    <row r="7" spans="1:13" ht="12" customHeight="1">
      <c r="A7" s="1251" t="s">
        <v>781</v>
      </c>
      <c r="B7" s="1295">
        <v>801214</v>
      </c>
      <c r="C7" s="179"/>
      <c r="D7" s="129"/>
      <c r="E7" s="1295">
        <v>801214</v>
      </c>
      <c r="F7" s="179"/>
      <c r="G7" s="129"/>
      <c r="H7" s="1295">
        <v>801214</v>
      </c>
      <c r="I7" s="179"/>
      <c r="J7" s="129"/>
      <c r="K7" s="1295">
        <v>801214</v>
      </c>
      <c r="L7" s="179"/>
      <c r="M7" s="129"/>
    </row>
    <row r="8" spans="1:13" ht="12" customHeight="1">
      <c r="A8" s="1297" t="s">
        <v>782</v>
      </c>
      <c r="B8" s="1298" t="s">
        <v>783</v>
      </c>
      <c r="C8" s="183"/>
      <c r="D8" s="184"/>
      <c r="E8" s="1298"/>
      <c r="F8" s="183"/>
      <c r="G8" s="184"/>
      <c r="H8" s="1298"/>
      <c r="I8" s="183"/>
      <c r="J8" s="184"/>
      <c r="K8" s="1298"/>
      <c r="L8" s="183"/>
      <c r="M8" s="184"/>
    </row>
    <row r="9" spans="1:13" s="187" customFormat="1" ht="31.5">
      <c r="A9" s="1302" t="s">
        <v>784</v>
      </c>
      <c r="B9" s="1299" t="s">
        <v>249</v>
      </c>
      <c r="C9" s="812"/>
      <c r="D9" s="1299"/>
      <c r="E9" s="1299" t="s">
        <v>249</v>
      </c>
      <c r="F9" s="812"/>
      <c r="G9" s="1299"/>
      <c r="H9" s="1299" t="s">
        <v>249</v>
      </c>
      <c r="I9" s="812"/>
      <c r="J9" s="1299"/>
      <c r="K9" s="1299" t="s">
        <v>249</v>
      </c>
      <c r="L9" s="812"/>
      <c r="M9" s="1299"/>
    </row>
    <row r="10" spans="1:13" ht="9.75" customHeight="1">
      <c r="A10" s="329" t="s">
        <v>524</v>
      </c>
      <c r="B10" s="32" t="s">
        <v>525</v>
      </c>
      <c r="C10" s="31" t="s">
        <v>526</v>
      </c>
      <c r="D10" s="31" t="s">
        <v>729</v>
      </c>
      <c r="E10" s="31" t="s">
        <v>730</v>
      </c>
      <c r="F10" s="31" t="s">
        <v>731</v>
      </c>
      <c r="G10" s="31" t="s">
        <v>732</v>
      </c>
      <c r="H10" s="31" t="s">
        <v>733</v>
      </c>
      <c r="I10" s="31" t="s">
        <v>734</v>
      </c>
      <c r="J10" s="31" t="s">
        <v>735</v>
      </c>
      <c r="K10" s="31" t="s">
        <v>736</v>
      </c>
      <c r="L10" s="31" t="s">
        <v>737</v>
      </c>
      <c r="M10" s="31" t="s">
        <v>738</v>
      </c>
    </row>
    <row r="11" spans="1:13" ht="12" customHeight="1">
      <c r="A11" s="353" t="s">
        <v>785</v>
      </c>
      <c r="B11" s="188">
        <v>47.5</v>
      </c>
      <c r="C11" s="188"/>
      <c r="D11" s="188"/>
      <c r="E11" s="188">
        <v>81</v>
      </c>
      <c r="F11" s="188"/>
      <c r="G11" s="188"/>
      <c r="H11" s="188">
        <v>64.5</v>
      </c>
      <c r="I11" s="188"/>
      <c r="J11" s="188"/>
      <c r="K11" s="188">
        <v>72</v>
      </c>
      <c r="L11" s="188"/>
      <c r="M11" s="188"/>
    </row>
    <row r="12" spans="1:13" s="189" customFormat="1" ht="12" customHeight="1">
      <c r="A12" s="351" t="s">
        <v>786</v>
      </c>
      <c r="B12" s="66"/>
      <c r="C12" s="66"/>
      <c r="D12" s="188"/>
      <c r="E12" s="66"/>
      <c r="F12" s="66"/>
      <c r="G12" s="188"/>
      <c r="H12" s="66"/>
      <c r="I12" s="66"/>
      <c r="J12" s="188"/>
      <c r="K12" s="66"/>
      <c r="L12" s="66"/>
      <c r="M12" s="188"/>
    </row>
    <row r="13" spans="1:13" ht="12" customHeight="1">
      <c r="A13" s="353" t="s">
        <v>787</v>
      </c>
      <c r="B13" s="65">
        <v>113189</v>
      </c>
      <c r="C13" s="65"/>
      <c r="D13" s="65"/>
      <c r="E13" s="65">
        <v>195751</v>
      </c>
      <c r="F13" s="65"/>
      <c r="G13" s="65"/>
      <c r="H13" s="65">
        <v>184664</v>
      </c>
      <c r="I13" s="65"/>
      <c r="J13" s="65"/>
      <c r="K13" s="65">
        <v>187594</v>
      </c>
      <c r="L13" s="65"/>
      <c r="M13" s="65"/>
    </row>
    <row r="14" spans="1:13" ht="12" customHeight="1">
      <c r="A14" s="353" t="s">
        <v>125</v>
      </c>
      <c r="B14" s="65">
        <v>36366</v>
      </c>
      <c r="C14" s="65"/>
      <c r="D14" s="65"/>
      <c r="E14" s="65">
        <v>62284</v>
      </c>
      <c r="F14" s="65"/>
      <c r="G14" s="65"/>
      <c r="H14" s="65">
        <v>59365</v>
      </c>
      <c r="I14" s="65"/>
      <c r="J14" s="65"/>
      <c r="K14" s="65">
        <v>60327</v>
      </c>
      <c r="L14" s="65"/>
      <c r="M14" s="65"/>
    </row>
    <row r="15" spans="1:13" ht="12" customHeight="1">
      <c r="A15" s="353" t="s">
        <v>126</v>
      </c>
      <c r="B15" s="65">
        <f>'[3]Megadott keretszámos'!$BL$16</f>
        <v>41160</v>
      </c>
      <c r="C15" s="65"/>
      <c r="D15" s="65"/>
      <c r="E15" s="65">
        <f>'[3]Megadott keretszámos'!$BL$18</f>
        <v>30017</v>
      </c>
      <c r="F15" s="65"/>
      <c r="G15" s="65"/>
      <c r="H15" s="65">
        <f>'[3]Megadott keretszámos'!$BL$19+'[3]Megadott keretszámos'!$BL$20</f>
        <v>49233</v>
      </c>
      <c r="I15" s="65"/>
      <c r="J15" s="65"/>
      <c r="K15" s="65">
        <f>'[3]Megadott keretszámos'!$BL$21+'[3]Megadott keretszámos'!$BL$22+'[3]Megadott keretszámos'!$BL$23</f>
        <v>38524</v>
      </c>
      <c r="L15" s="65"/>
      <c r="M15" s="65"/>
    </row>
    <row r="16" spans="1:13" ht="22.5">
      <c r="A16" s="1303" t="s">
        <v>421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ht="12.75">
      <c r="A17" s="353" t="s">
        <v>135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13" s="189" customFormat="1" ht="12.75">
      <c r="A18" s="351" t="s">
        <v>127</v>
      </c>
      <c r="B18" s="66">
        <f aca="true" t="shared" si="0" ref="B18:M18">SUM(B13:B17)</f>
        <v>190715</v>
      </c>
      <c r="C18" s="66">
        <f t="shared" si="0"/>
        <v>0</v>
      </c>
      <c r="D18" s="66">
        <f t="shared" si="0"/>
        <v>0</v>
      </c>
      <c r="E18" s="66">
        <f t="shared" si="0"/>
        <v>288052</v>
      </c>
      <c r="F18" s="66">
        <f t="shared" si="0"/>
        <v>0</v>
      </c>
      <c r="G18" s="66">
        <f t="shared" si="0"/>
        <v>0</v>
      </c>
      <c r="H18" s="66">
        <f t="shared" si="0"/>
        <v>293262</v>
      </c>
      <c r="I18" s="66">
        <f t="shared" si="0"/>
        <v>0</v>
      </c>
      <c r="J18" s="66">
        <f t="shared" si="0"/>
        <v>0</v>
      </c>
      <c r="K18" s="66">
        <f t="shared" si="0"/>
        <v>286445</v>
      </c>
      <c r="L18" s="66">
        <f t="shared" si="0"/>
        <v>0</v>
      </c>
      <c r="M18" s="66">
        <f t="shared" si="0"/>
        <v>0</v>
      </c>
    </row>
    <row r="19" spans="1:13" ht="12.75">
      <c r="A19" s="353" t="s">
        <v>800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3" ht="12.75">
      <c r="A20" s="353" t="s">
        <v>801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1:13" ht="24">
      <c r="A21" s="339" t="s">
        <v>799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</row>
    <row r="22" spans="1:13" s="189" customFormat="1" ht="12.75">
      <c r="A22" s="351" t="s">
        <v>719</v>
      </c>
      <c r="B22" s="66">
        <f aca="true" t="shared" si="1" ref="B22:M22">SUM(B19:B21)</f>
        <v>0</v>
      </c>
      <c r="C22" s="66">
        <f t="shared" si="1"/>
        <v>0</v>
      </c>
      <c r="D22" s="66">
        <f t="shared" si="1"/>
        <v>0</v>
      </c>
      <c r="E22" s="66">
        <f t="shared" si="1"/>
        <v>0</v>
      </c>
      <c r="F22" s="66">
        <f t="shared" si="1"/>
        <v>0</v>
      </c>
      <c r="G22" s="66">
        <f t="shared" si="1"/>
        <v>0</v>
      </c>
      <c r="H22" s="66">
        <f t="shared" si="1"/>
        <v>0</v>
      </c>
      <c r="I22" s="66">
        <f t="shared" si="1"/>
        <v>0</v>
      </c>
      <c r="J22" s="66">
        <f t="shared" si="1"/>
        <v>0</v>
      </c>
      <c r="K22" s="66">
        <f t="shared" si="1"/>
        <v>0</v>
      </c>
      <c r="L22" s="66">
        <f t="shared" si="1"/>
        <v>0</v>
      </c>
      <c r="M22" s="66">
        <f t="shared" si="1"/>
        <v>0</v>
      </c>
    </row>
    <row r="23" spans="1:13" s="189" customFormat="1" ht="12.75">
      <c r="A23" s="358" t="s">
        <v>720</v>
      </c>
      <c r="B23" s="66">
        <f aca="true" t="shared" si="2" ref="B23:M23">SUM(B18+B22)</f>
        <v>190715</v>
      </c>
      <c r="C23" s="66">
        <f t="shared" si="2"/>
        <v>0</v>
      </c>
      <c r="D23" s="66">
        <f t="shared" si="2"/>
        <v>0</v>
      </c>
      <c r="E23" s="66">
        <f t="shared" si="2"/>
        <v>288052</v>
      </c>
      <c r="F23" s="66">
        <f t="shared" si="2"/>
        <v>0</v>
      </c>
      <c r="G23" s="66">
        <f t="shared" si="2"/>
        <v>0</v>
      </c>
      <c r="H23" s="66">
        <f t="shared" si="2"/>
        <v>293262</v>
      </c>
      <c r="I23" s="66">
        <f t="shared" si="2"/>
        <v>0</v>
      </c>
      <c r="J23" s="66">
        <f t="shared" si="2"/>
        <v>0</v>
      </c>
      <c r="K23" s="66">
        <f t="shared" si="2"/>
        <v>286445</v>
      </c>
      <c r="L23" s="66">
        <f t="shared" si="2"/>
        <v>0</v>
      </c>
      <c r="M23" s="66">
        <f t="shared" si="2"/>
        <v>0</v>
      </c>
    </row>
    <row r="24" spans="1:13" s="189" customFormat="1" ht="12.75">
      <c r="A24" s="351" t="s">
        <v>721</v>
      </c>
      <c r="B24" s="66"/>
      <c r="C24" s="66"/>
      <c r="D24" s="65"/>
      <c r="E24" s="66"/>
      <c r="F24" s="66"/>
      <c r="G24" s="65"/>
      <c r="H24" s="66"/>
      <c r="I24" s="66"/>
      <c r="J24" s="65"/>
      <c r="K24" s="66"/>
      <c r="L24" s="66"/>
      <c r="M24" s="65"/>
    </row>
    <row r="25" spans="1:13" ht="22.5">
      <c r="A25" s="1303" t="s">
        <v>422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22.5">
      <c r="A26" s="1303" t="s">
        <v>448</v>
      </c>
      <c r="B26" s="65">
        <f>786+8388</f>
        <v>9174</v>
      </c>
      <c r="C26" s="65"/>
      <c r="D26" s="65"/>
      <c r="E26" s="65">
        <v>3131</v>
      </c>
      <c r="F26" s="65"/>
      <c r="G26" s="65"/>
      <c r="H26" s="65">
        <f>2019+7040</f>
        <v>9059</v>
      </c>
      <c r="I26" s="65"/>
      <c r="J26" s="65"/>
      <c r="K26" s="65">
        <f>791+4618-4522</f>
        <v>887</v>
      </c>
      <c r="L26" s="65"/>
      <c r="M26" s="65"/>
    </row>
    <row r="27" spans="1:13" ht="12" customHeight="1">
      <c r="A27" s="353" t="s">
        <v>449</v>
      </c>
      <c r="B27" s="65"/>
      <c r="C27" s="65"/>
      <c r="D27" s="65"/>
      <c r="E27" s="65"/>
      <c r="F27" s="65"/>
      <c r="G27" s="65"/>
      <c r="H27" s="65"/>
      <c r="I27" s="65"/>
      <c r="J27" s="65"/>
      <c r="K27" s="65">
        <v>4522</v>
      </c>
      <c r="L27" s="65"/>
      <c r="M27" s="65"/>
    </row>
    <row r="28" spans="1:13" ht="12" customHeight="1">
      <c r="A28" s="353" t="s">
        <v>136</v>
      </c>
      <c r="B28" s="65">
        <v>1677</v>
      </c>
      <c r="C28" s="65"/>
      <c r="D28" s="65"/>
      <c r="E28" s="65">
        <v>626</v>
      </c>
      <c r="F28" s="65"/>
      <c r="G28" s="65"/>
      <c r="H28" s="65">
        <v>1408</v>
      </c>
      <c r="I28" s="65"/>
      <c r="J28" s="65"/>
      <c r="K28" s="65">
        <v>923</v>
      </c>
      <c r="L28" s="65"/>
      <c r="M28" s="65"/>
    </row>
    <row r="29" spans="1:13" ht="12" customHeight="1">
      <c r="A29" s="353" t="s">
        <v>137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3" ht="24">
      <c r="A30" s="339" t="s">
        <v>794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</row>
    <row r="31" spans="1:13" ht="24">
      <c r="A31" s="482" t="s">
        <v>795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</row>
    <row r="32" spans="1:13" ht="12" customHeight="1">
      <c r="A32" s="353" t="s">
        <v>796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3" ht="12" customHeight="1">
      <c r="A33" s="353" t="s">
        <v>797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</row>
    <row r="34" spans="1:13" ht="12" customHeight="1">
      <c r="A34" s="353" t="s">
        <v>798</v>
      </c>
      <c r="B34" s="65">
        <f aca="true" t="shared" si="3" ref="B34:M34">+B23-B25-B26-B27-B28-B30-B31-B32-B33-B29</f>
        <v>179864</v>
      </c>
      <c r="C34" s="65">
        <f t="shared" si="3"/>
        <v>0</v>
      </c>
      <c r="D34" s="65">
        <f t="shared" si="3"/>
        <v>0</v>
      </c>
      <c r="E34" s="65">
        <f t="shared" si="3"/>
        <v>284295</v>
      </c>
      <c r="F34" s="65">
        <f t="shared" si="3"/>
        <v>0</v>
      </c>
      <c r="G34" s="65">
        <f t="shared" si="3"/>
        <v>0</v>
      </c>
      <c r="H34" s="65">
        <f t="shared" si="3"/>
        <v>282795</v>
      </c>
      <c r="I34" s="65">
        <f t="shared" si="3"/>
        <v>0</v>
      </c>
      <c r="J34" s="65">
        <f t="shared" si="3"/>
        <v>0</v>
      </c>
      <c r="K34" s="65">
        <f t="shared" si="3"/>
        <v>280113</v>
      </c>
      <c r="L34" s="65">
        <f t="shared" si="3"/>
        <v>0</v>
      </c>
      <c r="M34" s="65">
        <f t="shared" si="3"/>
        <v>0</v>
      </c>
    </row>
    <row r="35" spans="1:13" ht="12" customHeight="1">
      <c r="A35" s="1300" t="s">
        <v>197</v>
      </c>
      <c r="B35" s="65">
        <v>83032</v>
      </c>
      <c r="C35" s="65"/>
      <c r="D35" s="65"/>
      <c r="E35" s="65">
        <v>80292</v>
      </c>
      <c r="F35" s="65"/>
      <c r="G35" s="65"/>
      <c r="H35" s="65">
        <v>153434</v>
      </c>
      <c r="I35" s="65"/>
      <c r="J35" s="65"/>
      <c r="K35" s="65">
        <v>165657</v>
      </c>
      <c r="L35" s="65"/>
      <c r="M35" s="65"/>
    </row>
    <row r="36" spans="1:13" ht="12" customHeight="1">
      <c r="A36" s="1301" t="s">
        <v>398</v>
      </c>
      <c r="B36" s="65"/>
      <c r="C36" s="65"/>
      <c r="D36" s="65"/>
      <c r="E36" s="65">
        <v>13260</v>
      </c>
      <c r="F36" s="65"/>
      <c r="G36" s="65"/>
      <c r="H36" s="65"/>
      <c r="I36" s="65"/>
      <c r="J36" s="65"/>
      <c r="K36" s="65"/>
      <c r="L36" s="65"/>
      <c r="M36" s="65"/>
    </row>
    <row r="37" spans="1:13" s="189" customFormat="1" ht="12.75">
      <c r="A37" s="358" t="s">
        <v>722</v>
      </c>
      <c r="B37" s="66">
        <f aca="true" t="shared" si="4" ref="B37:M37">SUM(B25:B34)</f>
        <v>190715</v>
      </c>
      <c r="C37" s="66">
        <f t="shared" si="4"/>
        <v>0</v>
      </c>
      <c r="D37" s="66">
        <f t="shared" si="4"/>
        <v>0</v>
      </c>
      <c r="E37" s="66">
        <f t="shared" si="4"/>
        <v>288052</v>
      </c>
      <c r="F37" s="66">
        <f t="shared" si="4"/>
        <v>0</v>
      </c>
      <c r="G37" s="66">
        <f t="shared" si="4"/>
        <v>0</v>
      </c>
      <c r="H37" s="66">
        <f t="shared" si="4"/>
        <v>293262</v>
      </c>
      <c r="I37" s="66">
        <f t="shared" si="4"/>
        <v>0</v>
      </c>
      <c r="J37" s="66">
        <f t="shared" si="4"/>
        <v>0</v>
      </c>
      <c r="K37" s="66">
        <f t="shared" si="4"/>
        <v>286445</v>
      </c>
      <c r="L37" s="66">
        <f t="shared" si="4"/>
        <v>0</v>
      </c>
      <c r="M37" s="66">
        <f t="shared" si="4"/>
        <v>0</v>
      </c>
    </row>
    <row r="39" spans="2:11" ht="12.75">
      <c r="B39" s="134"/>
      <c r="E39" s="134"/>
      <c r="H39" s="134"/>
      <c r="K39" s="134"/>
    </row>
  </sheetData>
  <printOptions horizontalCentered="1"/>
  <pageMargins left="0.3937007874015748" right="0.3937007874015748" top="0.31496062992125984" bottom="0.5118110236220472" header="0.31496062992125984" footer="0"/>
  <pageSetup horizontalDpi="300" verticalDpi="300" orientation="landscape" paperSize="9" r:id="rId1"/>
  <headerFooter alignWithMargins="0">
    <oddHeader>&amp;C&amp;"Times New Roman,Normál"&amp;8 9&amp;R&amp;"Times New Roman,Normál"6/a. számú melléklet&amp;"MS Sans Serif,Normál"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M37"/>
  <sheetViews>
    <sheetView workbookViewId="0" topLeftCell="A1">
      <pane xSplit="1" ySplit="8" topLeftCell="E30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D41" sqref="D41"/>
    </sheetView>
  </sheetViews>
  <sheetFormatPr defaultColWidth="9.140625" defaultRowHeight="12.75"/>
  <cols>
    <col min="1" max="1" width="28.140625" style="27" customWidth="1"/>
    <col min="2" max="2" width="9.28125" style="27" customWidth="1"/>
    <col min="3" max="3" width="8.7109375" style="27" customWidth="1"/>
    <col min="4" max="4" width="9.421875" style="27" bestFit="1" customWidth="1"/>
    <col min="5" max="5" width="9.28125" style="27" customWidth="1"/>
    <col min="6" max="6" width="8.7109375" style="27" customWidth="1"/>
    <col min="7" max="7" width="9.421875" style="27" bestFit="1" customWidth="1"/>
    <col min="8" max="8" width="9.28125" style="27" customWidth="1"/>
    <col min="9" max="9" width="8.7109375" style="27" customWidth="1"/>
    <col min="10" max="10" width="9.421875" style="27" bestFit="1" customWidth="1"/>
    <col min="11" max="11" width="9.28125" style="27" customWidth="1"/>
    <col min="12" max="12" width="8.7109375" style="27" customWidth="1"/>
    <col min="13" max="13" width="9.421875" style="27" bestFit="1" customWidth="1"/>
  </cols>
  <sheetData>
    <row r="1" ht="12" customHeight="1"/>
    <row r="2" spans="1:13" ht="18.75">
      <c r="A2" s="37" t="s">
        <v>132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</row>
    <row r="3" spans="12:13" ht="9" customHeight="1">
      <c r="L3" s="809" t="s">
        <v>128</v>
      </c>
      <c r="M3" s="809"/>
    </row>
    <row r="4" spans="1:13" ht="12" customHeight="1">
      <c r="A4" s="1251" t="s">
        <v>777</v>
      </c>
      <c r="B4" s="1295">
        <v>37</v>
      </c>
      <c r="C4" s="179"/>
      <c r="D4" s="129"/>
      <c r="E4" s="1295">
        <v>38</v>
      </c>
      <c r="F4" s="179"/>
      <c r="G4" s="129"/>
      <c r="H4" s="1295">
        <v>39</v>
      </c>
      <c r="I4" s="179"/>
      <c r="J4" s="129"/>
      <c r="K4" s="1295">
        <v>40</v>
      </c>
      <c r="L4" s="179"/>
      <c r="M4" s="129"/>
    </row>
    <row r="5" spans="1:13" ht="12" customHeight="1">
      <c r="A5" s="1251" t="s">
        <v>463</v>
      </c>
      <c r="B5" s="1251"/>
      <c r="C5" s="180"/>
      <c r="D5" s="181"/>
      <c r="E5" s="1251"/>
      <c r="F5" s="138"/>
      <c r="G5" s="182"/>
      <c r="H5" s="131"/>
      <c r="I5" s="138"/>
      <c r="J5" s="182"/>
      <c r="K5" s="131"/>
      <c r="L5" s="138"/>
      <c r="M5" s="182"/>
    </row>
    <row r="6" spans="1:13" ht="12" customHeight="1">
      <c r="A6" s="1251" t="s">
        <v>778</v>
      </c>
      <c r="B6" s="1295" t="s">
        <v>649</v>
      </c>
      <c r="C6" s="179"/>
      <c r="D6" s="129"/>
      <c r="E6" s="1382" t="s">
        <v>463</v>
      </c>
      <c r="F6" s="1383"/>
      <c r="G6" s="1384"/>
      <c r="H6" s="1382"/>
      <c r="I6" s="1383"/>
      <c r="J6" s="1384"/>
      <c r="K6" s="1305" t="s">
        <v>723</v>
      </c>
      <c r="L6" s="1306"/>
      <c r="M6" s="1307"/>
    </row>
    <row r="7" spans="1:13" ht="12" customHeight="1">
      <c r="A7" s="1251" t="s">
        <v>781</v>
      </c>
      <c r="B7" s="1295">
        <v>853213</v>
      </c>
      <c r="C7" s="179"/>
      <c r="D7" s="129"/>
      <c r="E7" s="1382">
        <v>751757</v>
      </c>
      <c r="F7" s="1383"/>
      <c r="G7" s="1384"/>
      <c r="H7" s="1382"/>
      <c r="I7" s="1383"/>
      <c r="J7" s="1384"/>
      <c r="K7" s="1295"/>
      <c r="L7" s="179"/>
      <c r="M7" s="129"/>
    </row>
    <row r="8" spans="1:13" ht="12" customHeight="1">
      <c r="A8" s="1297" t="s">
        <v>782</v>
      </c>
      <c r="B8" s="1385" t="s">
        <v>783</v>
      </c>
      <c r="C8" s="1386"/>
      <c r="D8" s="1387"/>
      <c r="E8" s="1382" t="s">
        <v>167</v>
      </c>
      <c r="F8" s="1383"/>
      <c r="G8" s="1384"/>
      <c r="H8" s="1382"/>
      <c r="I8" s="1383"/>
      <c r="J8" s="1384"/>
      <c r="K8" s="1382"/>
      <c r="L8" s="1383"/>
      <c r="M8" s="1384"/>
    </row>
    <row r="9" spans="1:13" s="187" customFormat="1" ht="31.5">
      <c r="A9" s="1302" t="s">
        <v>784</v>
      </c>
      <c r="B9" s="1299" t="s">
        <v>249</v>
      </c>
      <c r="C9" s="812"/>
      <c r="D9" s="1299"/>
      <c r="E9" s="1299" t="s">
        <v>249</v>
      </c>
      <c r="F9" s="812"/>
      <c r="G9" s="1299"/>
      <c r="H9" s="1299" t="s">
        <v>249</v>
      </c>
      <c r="I9" s="812"/>
      <c r="J9" s="1299"/>
      <c r="K9" s="1299" t="s">
        <v>249</v>
      </c>
      <c r="L9" s="812"/>
      <c r="M9" s="1299"/>
    </row>
    <row r="10" spans="1:13" ht="9.75" customHeight="1">
      <c r="A10" s="329" t="s">
        <v>524</v>
      </c>
      <c r="B10" s="32" t="s">
        <v>525</v>
      </c>
      <c r="C10" s="31" t="s">
        <v>526</v>
      </c>
      <c r="D10" s="31" t="s">
        <v>729</v>
      </c>
      <c r="E10" s="31" t="s">
        <v>730</v>
      </c>
      <c r="F10" s="31" t="s">
        <v>731</v>
      </c>
      <c r="G10" s="31" t="s">
        <v>732</v>
      </c>
      <c r="H10" s="31" t="s">
        <v>733</v>
      </c>
      <c r="I10" s="31" t="s">
        <v>734</v>
      </c>
      <c r="J10" s="31" t="s">
        <v>735</v>
      </c>
      <c r="K10" s="31" t="s">
        <v>736</v>
      </c>
      <c r="L10" s="31" t="s">
        <v>737</v>
      </c>
      <c r="M10" s="31" t="s">
        <v>738</v>
      </c>
    </row>
    <row r="11" spans="1:13" ht="12" customHeight="1">
      <c r="A11" s="353" t="s">
        <v>785</v>
      </c>
      <c r="B11" s="188">
        <v>122</v>
      </c>
      <c r="C11" s="188"/>
      <c r="D11" s="188"/>
      <c r="E11" s="188">
        <v>64</v>
      </c>
      <c r="F11" s="188"/>
      <c r="G11" s="188"/>
      <c r="H11" s="188"/>
      <c r="I11" s="188"/>
      <c r="J11" s="188"/>
      <c r="K11" s="1223">
        <f>SUM('6a.sz.melléklet (1)'!B11+'6a.sz.melléklet (1)'!E11+'6a.sz.melléklet (1)'!H11+'6a.sz.melléklet (1)'!K11)+'6a.sz.mellékle (2)'!B11+'6a.sz.mellékle (2)'!E11+'6a.sz.mellékle (2)'!H11+'6a.sz.mellékle (2)'!K11+'6a.sz.mellékle (3)'!B11+'6a.sz.mellékle (3)'!E11+'6a.sz.mellékle (3)'!H11+'6a.sz.mellékle (3)'!K11+'6a.sz.mellékle (4)'!B11+'6a.sz.mellékle (4)'!E11+'6a.sz.mellékle (4)'!H11+'6a.sz.mellékle (4)'!K11+'6a.sz.mellékle (5)'!B11+'6a.sz.mellékle (5)'!E11+'6a.sz.mellékle (5)'!H11+'6a.sz.mellékle (5)'!K11+'6a.sz.mellékle (6)'!B11+'6a.sz.mellékle (6)'!E11+'6a.sz.mellékle (6)'!H11+'6a.sz.mellékle (6)'!K11+'6a.sz.mellékle (7)'!B11+'6a.sz.mellékle (7)'!E11+'6a.sz.mellékle (7)'!H11+'6a.sz.mellékle (7)'!K11+'6a.sz.mellékle (8)'!B11+'6a.sz.mellékle (8)'!E11+'6a.sz.mellékle (8)'!H11+'6a.sz.mellékle (8)'!K11+'6a.sz.mellékle (9)'!B11+'6a.sz.mellékle (9)'!E11+'6a.sz.mellékle (9)'!H11+'6a.sz.mellékle (9)'!K11+'6a.sz.mellékle (10)'!B11+'6a.sz.mellékle (10)'!E11</f>
        <v>1459.5</v>
      </c>
      <c r="L11" s="1223">
        <f>SUM('6a.sz.melléklet (1)'!C11+'6a.sz.melléklet (1)'!F11+'6a.sz.melléklet (1)'!I11+'6a.sz.melléklet (1)'!L11)+'6a.sz.mellékle (2)'!C11+'6a.sz.mellékle (2)'!F11+'6a.sz.mellékle (2)'!I11+'6a.sz.mellékle (2)'!L11+'6a.sz.mellékle (3)'!C11+'6a.sz.mellékle (3)'!F11+'6a.sz.mellékle (3)'!I11+'6a.sz.mellékle (3)'!L11+'6a.sz.mellékle (4)'!C11+'6a.sz.mellékle (4)'!F11+'6a.sz.mellékle (4)'!I11+'6a.sz.mellékle (4)'!L11+'6a.sz.mellékle (5)'!C11+'6a.sz.mellékle (5)'!F11+'6a.sz.mellékle (5)'!I11+'6a.sz.mellékle (5)'!L11+'6a.sz.mellékle (6)'!C11+'6a.sz.mellékle (6)'!F11+'6a.sz.mellékle (6)'!I11+'6a.sz.mellékle (6)'!L11+'6a.sz.mellékle (7)'!C11+'6a.sz.mellékle (7)'!F11+'6a.sz.mellékle (7)'!I11+'6a.sz.mellékle (7)'!L11+'6a.sz.mellékle (8)'!C11+'6a.sz.mellékle (8)'!F11+'6a.sz.mellékle (8)'!I11+'6a.sz.mellékle (8)'!L11+'6a.sz.mellékle (9)'!C11+'6a.sz.mellékle (9)'!F11+'6a.sz.mellékle (9)'!I11+'6a.sz.mellékle (9)'!L11+'6a.sz.mellékle (10)'!C11+'6a.sz.mellékle (10)'!F11</f>
        <v>0</v>
      </c>
      <c r="M11" s="1223">
        <f>SUM('6a.sz.melléklet (1)'!D11+'6a.sz.melléklet (1)'!G11+'6a.sz.melléklet (1)'!J11+'6a.sz.melléklet (1)'!M11)+'6a.sz.mellékle (2)'!D11+'6a.sz.mellékle (2)'!G11+'6a.sz.mellékle (2)'!J11+'6a.sz.mellékle (2)'!M11+'6a.sz.mellékle (3)'!D11+'6a.sz.mellékle (3)'!G11+'6a.sz.mellékle (3)'!J11+'6a.sz.mellékle (3)'!M11+'6a.sz.mellékle (4)'!D11+'6a.sz.mellékle (4)'!G11+'6a.sz.mellékle (4)'!J11+'6a.sz.mellékle (4)'!M11+'6a.sz.mellékle (5)'!D11+'6a.sz.mellékle (5)'!G11+'6a.sz.mellékle (5)'!J11+'6a.sz.mellékle (5)'!M11+'6a.sz.mellékle (6)'!D11+'6a.sz.mellékle (6)'!G11+'6a.sz.mellékle (6)'!J11+'6a.sz.mellékle (6)'!M11+'6a.sz.mellékle (7)'!D11+'6a.sz.mellékle (7)'!G11+'6a.sz.mellékle (7)'!J11+'6a.sz.mellékle (7)'!M11+'6a.sz.mellékle (8)'!D11+'6a.sz.mellékle (8)'!G11+'6a.sz.mellékle (8)'!J11+'6a.sz.mellékle (8)'!M11+'6a.sz.mellékle (9)'!D11+'6a.sz.mellékle (9)'!G11+'6a.sz.mellékle (9)'!J11+'6a.sz.mellékle (9)'!M11+'6a.sz.mellékle (10)'!D11+'6a.sz.mellékle (10)'!G11</f>
        <v>0</v>
      </c>
    </row>
    <row r="12" spans="1:13" s="189" customFormat="1" ht="12" customHeight="1">
      <c r="A12" s="351" t="s">
        <v>786</v>
      </c>
      <c r="B12" s="66"/>
      <c r="C12" s="66"/>
      <c r="D12" s="188"/>
      <c r="E12" s="66"/>
      <c r="F12" s="66"/>
      <c r="G12" s="188"/>
      <c r="H12" s="66"/>
      <c r="I12" s="66"/>
      <c r="J12" s="188"/>
      <c r="K12" s="1223"/>
      <c r="L12" s="66"/>
      <c r="M12" s="188"/>
    </row>
    <row r="13" spans="1:13" ht="12" customHeight="1">
      <c r="A13" s="353" t="s">
        <v>787</v>
      </c>
      <c r="B13" s="65">
        <v>199351</v>
      </c>
      <c r="C13" s="65"/>
      <c r="D13" s="65"/>
      <c r="E13" s="65">
        <v>144687</v>
      </c>
      <c r="F13" s="65"/>
      <c r="G13" s="65"/>
      <c r="H13" s="65"/>
      <c r="I13" s="65"/>
      <c r="J13" s="65"/>
      <c r="K13" s="65">
        <f>SUM('6a.sz.melléklet (1)'!B13+'6a.sz.melléklet (1)'!E13+'6a.sz.melléklet (1)'!H13+'6a.sz.melléklet (1)'!K13)+'6a.sz.mellékle (2)'!B13+'6a.sz.mellékle (2)'!E13+'6a.sz.mellékle (2)'!H13+'6a.sz.mellékle (2)'!K13+'6a.sz.mellékle (3)'!B13+'6a.sz.mellékle (3)'!E13+'6a.sz.mellékle (3)'!H13+'6a.sz.mellékle (3)'!K13+'6a.sz.mellékle (4)'!B13+'6a.sz.mellékle (4)'!E13+'6a.sz.mellékle (4)'!H13+'6a.sz.mellékle (4)'!K13+'6a.sz.mellékle (5)'!B13+'6a.sz.mellékle (5)'!E13+'6a.sz.mellékle (5)'!H13+'6a.sz.mellékle (5)'!K13+'6a.sz.mellékle (6)'!B13+'6a.sz.mellékle (6)'!E13+'6a.sz.mellékle (6)'!H13+'6a.sz.mellékle (6)'!K13+'6a.sz.mellékle (7)'!B13+'6a.sz.mellékle (7)'!E13+'6a.sz.mellékle (7)'!H13+'6a.sz.mellékle (7)'!K13+'6a.sz.mellékle (8)'!B13+'6a.sz.mellékle (8)'!E13+'6a.sz.mellékle (8)'!H13+'6a.sz.mellékle (8)'!K13+'6a.sz.mellékle (9)'!B13+'6a.sz.mellékle (9)'!E13+'6a.sz.mellékle (9)'!H13+'6a.sz.mellékle (9)'!K13+'6a.sz.mellékle (10)'!B13+'6a.sz.mellékle (10)'!E13</f>
        <v>3375162</v>
      </c>
      <c r="L13" s="65">
        <f>SUM('6a.sz.melléklet (1)'!C13+'6a.sz.melléklet (1)'!F13+'6a.sz.melléklet (1)'!I13+'6a.sz.melléklet (1)'!L13)+'6a.sz.mellékle (2)'!C13+'6a.sz.mellékle (2)'!F13+'6a.sz.mellékle (2)'!I13+'6a.sz.mellékle (2)'!L13+'6a.sz.mellékle (3)'!C13+'6a.sz.mellékle (3)'!F13+'6a.sz.mellékle (3)'!I13+'6a.sz.mellékle (3)'!L13+'6a.sz.mellékle (4)'!C13+'6a.sz.mellékle (4)'!F13+'6a.sz.mellékle (4)'!I13+'6a.sz.mellékle (4)'!L13+'6a.sz.mellékle (5)'!C13+'6a.sz.mellékle (5)'!F13+'6a.sz.mellékle (5)'!I13+'6a.sz.mellékle (5)'!L13+'6a.sz.mellékle (6)'!C13+'6a.sz.mellékle (6)'!F13+'6a.sz.mellékle (6)'!I13+'6a.sz.mellékle (6)'!L13+'6a.sz.mellékle (7)'!C13+'6a.sz.mellékle (7)'!F13+'6a.sz.mellékle (7)'!I13+'6a.sz.mellékle (7)'!L13+'6a.sz.mellékle (8)'!C13+'6a.sz.mellékle (8)'!F13+'6a.sz.mellékle (8)'!I13+'6a.sz.mellékle (8)'!L13+'6a.sz.mellékle (9)'!C13+'6a.sz.mellékle (9)'!F13+'6a.sz.mellékle (9)'!I13+'6a.sz.mellékle (9)'!L13+'6a.sz.mellékle (10)'!C13+'6a.sz.mellékle (10)'!F13</f>
        <v>0</v>
      </c>
      <c r="M13" s="65">
        <f>SUM('6a.sz.melléklet (1)'!D13+'6a.sz.melléklet (1)'!G13+'6a.sz.melléklet (1)'!J13+'6a.sz.melléklet (1)'!M13)+'6a.sz.mellékle (2)'!D13+'6a.sz.mellékle (2)'!G13+'6a.sz.mellékle (2)'!J13+'6a.sz.mellékle (2)'!M13+'6a.sz.mellékle (3)'!D13+'6a.sz.mellékle (3)'!G13+'6a.sz.mellékle (3)'!J13+'6a.sz.mellékle (3)'!M13+'6a.sz.mellékle (4)'!D13+'6a.sz.mellékle (4)'!G13+'6a.sz.mellékle (4)'!J13+'6a.sz.mellékle (4)'!M13+'6a.sz.mellékle (5)'!D13+'6a.sz.mellékle (5)'!G13+'6a.sz.mellékle (5)'!J13+'6a.sz.mellékle (5)'!M13+'6a.sz.mellékle (6)'!D13+'6a.sz.mellékle (6)'!G13+'6a.sz.mellékle (6)'!J13+'6a.sz.mellékle (6)'!M13+'6a.sz.mellékle (7)'!D13+'6a.sz.mellékle (7)'!G13+'6a.sz.mellékle (7)'!J13+'6a.sz.mellékle (7)'!M13+'6a.sz.mellékle (8)'!D13+'6a.sz.mellékle (8)'!G13+'6a.sz.mellékle (8)'!J13+'6a.sz.mellékle (8)'!M13+'6a.sz.mellékle (9)'!D13+'6a.sz.mellékle (9)'!G13+'6a.sz.mellékle (9)'!J13+'6a.sz.mellékle (9)'!M13+'6a.sz.mellékle (10)'!D13+'6a.sz.mellékle (10)'!G13</f>
        <v>0</v>
      </c>
    </row>
    <row r="14" spans="1:13" ht="12" customHeight="1">
      <c r="A14" s="353" t="s">
        <v>125</v>
      </c>
      <c r="B14" s="65">
        <v>65679</v>
      </c>
      <c r="C14" s="65"/>
      <c r="D14" s="65"/>
      <c r="E14" s="65">
        <v>43603</v>
      </c>
      <c r="F14" s="65"/>
      <c r="G14" s="65"/>
      <c r="H14" s="65"/>
      <c r="I14" s="65"/>
      <c r="J14" s="65"/>
      <c r="K14" s="65">
        <f>SUM('6a.sz.melléklet (1)'!B14+'6a.sz.melléklet (1)'!E14+'6a.sz.melléklet (1)'!H14+'6a.sz.melléklet (1)'!K14)+'6a.sz.mellékle (2)'!B14+'6a.sz.mellékle (2)'!E14+'6a.sz.mellékle (2)'!H14+'6a.sz.mellékle (2)'!K14+'6a.sz.mellékle (3)'!B14+'6a.sz.mellékle (3)'!E14+'6a.sz.mellékle (3)'!H14+'6a.sz.mellékle (3)'!K14+'6a.sz.mellékle (4)'!B14+'6a.sz.mellékle (4)'!E14+'6a.sz.mellékle (4)'!H14+'6a.sz.mellékle (4)'!K14+'6a.sz.mellékle (5)'!B14+'6a.sz.mellékle (5)'!E14+'6a.sz.mellékle (5)'!H14+'6a.sz.mellékle (5)'!K14+'6a.sz.mellékle (6)'!B14+'6a.sz.mellékle (6)'!E14+'6a.sz.mellékle (6)'!H14+'6a.sz.mellékle (6)'!K14+'6a.sz.mellékle (7)'!B14+'6a.sz.mellékle (7)'!E14+'6a.sz.mellékle (7)'!H14+'6a.sz.mellékle (7)'!K14+'6a.sz.mellékle (8)'!B14+'6a.sz.mellékle (8)'!E14+'6a.sz.mellékle (8)'!H14+'6a.sz.mellékle (8)'!K14+'6a.sz.mellékle (9)'!B14+'6a.sz.mellékle (9)'!E14+'6a.sz.mellékle (9)'!H14+'6a.sz.mellékle (9)'!K14+'6a.sz.mellékle (10)'!B14+'6a.sz.mellékle (10)'!E14</f>
        <v>1082075</v>
      </c>
      <c r="L14" s="65">
        <f>SUM('6a.sz.melléklet (1)'!C14+'6a.sz.melléklet (1)'!F14+'6a.sz.melléklet (1)'!I14+'6a.sz.melléklet (1)'!L14)+'6a.sz.mellékle (2)'!C14+'6a.sz.mellékle (2)'!F14+'6a.sz.mellékle (2)'!I14+'6a.sz.mellékle (2)'!L14+'6a.sz.mellékle (3)'!C14+'6a.sz.mellékle (3)'!F14+'6a.sz.mellékle (3)'!I14+'6a.sz.mellékle (3)'!L14+'6a.sz.mellékle (4)'!C14+'6a.sz.mellékle (4)'!F14+'6a.sz.mellékle (4)'!I14+'6a.sz.mellékle (4)'!L14+'6a.sz.mellékle (5)'!C14+'6a.sz.mellékle (5)'!F14+'6a.sz.mellékle (5)'!I14+'6a.sz.mellékle (5)'!L14+'6a.sz.mellékle (6)'!C14+'6a.sz.mellékle (6)'!F14+'6a.sz.mellékle (6)'!I14+'6a.sz.mellékle (6)'!L14+'6a.sz.mellékle (7)'!C14+'6a.sz.mellékle (7)'!F14+'6a.sz.mellékle (7)'!I14+'6a.sz.mellékle (7)'!L14+'6a.sz.mellékle (8)'!C14+'6a.sz.mellékle (8)'!F14+'6a.sz.mellékle (8)'!I14+'6a.sz.mellékle (8)'!L14+'6a.sz.mellékle (9)'!C14+'6a.sz.mellékle (9)'!F14+'6a.sz.mellékle (9)'!I14+'6a.sz.mellékle (9)'!L14+'6a.sz.mellékle (10)'!C14+'6a.sz.mellékle (10)'!F14</f>
        <v>0</v>
      </c>
      <c r="M14" s="65">
        <f>SUM('6a.sz.melléklet (1)'!D14+'6a.sz.melléklet (1)'!G14+'6a.sz.melléklet (1)'!J14+'6a.sz.melléklet (1)'!M14)+'6a.sz.mellékle (2)'!D14+'6a.sz.mellékle (2)'!G14+'6a.sz.mellékle (2)'!J14+'6a.sz.mellékle (2)'!M14+'6a.sz.mellékle (3)'!D14+'6a.sz.mellékle (3)'!G14+'6a.sz.mellékle (3)'!J14+'6a.sz.mellékle (3)'!M14+'6a.sz.mellékle (4)'!D14+'6a.sz.mellékle (4)'!G14+'6a.sz.mellékle (4)'!J14+'6a.sz.mellékle (4)'!M14+'6a.sz.mellékle (5)'!D14+'6a.sz.mellékle (5)'!G14+'6a.sz.mellékle (5)'!J14+'6a.sz.mellékle (5)'!M14+'6a.sz.mellékle (6)'!D14+'6a.sz.mellékle (6)'!G14+'6a.sz.mellékle (6)'!J14+'6a.sz.mellékle (6)'!M14+'6a.sz.mellékle (7)'!D14+'6a.sz.mellékle (7)'!G14+'6a.sz.mellékle (7)'!J14+'6a.sz.mellékle (7)'!M14+'6a.sz.mellékle (8)'!D14+'6a.sz.mellékle (8)'!G14+'6a.sz.mellékle (8)'!J14+'6a.sz.mellékle (8)'!M14+'6a.sz.mellékle (9)'!D14+'6a.sz.mellékle (9)'!G14+'6a.sz.mellékle (9)'!J14+'6a.sz.mellékle (9)'!M14+'6a.sz.mellékle (10)'!D14+'6a.sz.mellékle (10)'!G14</f>
        <v>0</v>
      </c>
    </row>
    <row r="15" spans="1:13" ht="12" customHeight="1">
      <c r="A15" s="353" t="s">
        <v>126</v>
      </c>
      <c r="B15" s="65">
        <f>'[3]Megadott keretszámos'!$BL$42+'[3]Megadott keretszámos'!$BL$43</f>
        <v>80114</v>
      </c>
      <c r="C15" s="65"/>
      <c r="D15" s="65"/>
      <c r="E15" s="65">
        <f>'[3]Megadott keretszámos'!$BL$60</f>
        <v>124750</v>
      </c>
      <c r="F15" s="65"/>
      <c r="G15" s="65"/>
      <c r="H15" s="65"/>
      <c r="I15" s="65"/>
      <c r="J15" s="65"/>
      <c r="K15" s="65">
        <f>SUM('6a.sz.melléklet (1)'!B15+'6a.sz.melléklet (1)'!E15+'6a.sz.melléklet (1)'!H15+'6a.sz.melléklet (1)'!K15)+'6a.sz.mellékle (2)'!B15+'6a.sz.mellékle (2)'!E15+'6a.sz.mellékle (2)'!H15+'6a.sz.mellékle (2)'!K15+'6a.sz.mellékle (3)'!B15+'6a.sz.mellékle (3)'!E15+'6a.sz.mellékle (3)'!H15+'6a.sz.mellékle (3)'!K15+'6a.sz.mellékle (4)'!B15+'6a.sz.mellékle (4)'!E15+'6a.sz.mellékle (4)'!H15+'6a.sz.mellékle (4)'!K15+'6a.sz.mellékle (5)'!B15+'6a.sz.mellékle (5)'!E15+'6a.sz.mellékle (5)'!H15+'6a.sz.mellékle (5)'!K15+'6a.sz.mellékle (6)'!B15+'6a.sz.mellékle (6)'!E15+'6a.sz.mellékle (6)'!H15+'6a.sz.mellékle (6)'!K15+'6a.sz.mellékle (7)'!B15+'6a.sz.mellékle (7)'!E15+'6a.sz.mellékle (7)'!H15+'6a.sz.mellékle (7)'!K15+'6a.sz.mellékle (8)'!B15+'6a.sz.mellékle (8)'!E15+'6a.sz.mellékle (8)'!H15+'6a.sz.mellékle (8)'!K15+'6a.sz.mellékle (9)'!B15+'6a.sz.mellékle (9)'!E15+'6a.sz.mellékle (9)'!H15+'6a.sz.mellékle (9)'!K15+'6a.sz.mellékle (10)'!B15+'6a.sz.mellékle (10)'!E15</f>
        <v>1228810</v>
      </c>
      <c r="L15" s="65">
        <f>SUM('6a.sz.melléklet (1)'!C15+'6a.sz.melléklet (1)'!F15+'6a.sz.melléklet (1)'!I15+'6a.sz.melléklet (1)'!L15)+'6a.sz.mellékle (2)'!C15+'6a.sz.mellékle (2)'!F15+'6a.sz.mellékle (2)'!I15+'6a.sz.mellékle (2)'!L15+'6a.sz.mellékle (3)'!C15+'6a.sz.mellékle (3)'!F15+'6a.sz.mellékle (3)'!I15+'6a.sz.mellékle (3)'!L15+'6a.sz.mellékle (4)'!C15+'6a.sz.mellékle (4)'!F15+'6a.sz.mellékle (4)'!I15+'6a.sz.mellékle (4)'!L15+'6a.sz.mellékle (5)'!C15+'6a.sz.mellékle (5)'!F15+'6a.sz.mellékle (5)'!I15+'6a.sz.mellékle (5)'!L15+'6a.sz.mellékle (6)'!C15+'6a.sz.mellékle (6)'!F15+'6a.sz.mellékle (6)'!I15+'6a.sz.mellékle (6)'!L15+'6a.sz.mellékle (7)'!C15+'6a.sz.mellékle (7)'!F15+'6a.sz.mellékle (7)'!I15+'6a.sz.mellékle (7)'!L15+'6a.sz.mellékle (8)'!C15+'6a.sz.mellékle (8)'!F15+'6a.sz.mellékle (8)'!I15+'6a.sz.mellékle (8)'!L15+'6a.sz.mellékle (9)'!C15+'6a.sz.mellékle (9)'!F15+'6a.sz.mellékle (9)'!I15+'6a.sz.mellékle (9)'!L15+'6a.sz.mellékle (10)'!C15+'6a.sz.mellékle (10)'!F15</f>
        <v>0</v>
      </c>
      <c r="M15" s="65">
        <f>SUM('6a.sz.melléklet (1)'!D15+'6a.sz.melléklet (1)'!G15+'6a.sz.melléklet (1)'!J15+'6a.sz.melléklet (1)'!M15)+'6a.sz.mellékle (2)'!D15+'6a.sz.mellékle (2)'!G15+'6a.sz.mellékle (2)'!J15+'6a.sz.mellékle (2)'!M15+'6a.sz.mellékle (3)'!D15+'6a.sz.mellékle (3)'!G15+'6a.sz.mellékle (3)'!J15+'6a.sz.mellékle (3)'!M15+'6a.sz.mellékle (4)'!D15+'6a.sz.mellékle (4)'!G15+'6a.sz.mellékle (4)'!J15+'6a.sz.mellékle (4)'!M15+'6a.sz.mellékle (5)'!D15+'6a.sz.mellékle (5)'!G15+'6a.sz.mellékle (5)'!J15+'6a.sz.mellékle (5)'!M15+'6a.sz.mellékle (6)'!D15+'6a.sz.mellékle (6)'!G15+'6a.sz.mellékle (6)'!J15+'6a.sz.mellékle (6)'!M15+'6a.sz.mellékle (7)'!D15+'6a.sz.mellékle (7)'!G15+'6a.sz.mellékle (7)'!J15+'6a.sz.mellékle (7)'!M15+'6a.sz.mellékle (8)'!D15+'6a.sz.mellékle (8)'!G15+'6a.sz.mellékle (8)'!J15+'6a.sz.mellékle (8)'!M15+'6a.sz.mellékle (9)'!D15+'6a.sz.mellékle (9)'!G15+'6a.sz.mellékle (9)'!J15+'6a.sz.mellékle (9)'!M15+'6a.sz.mellékle (10)'!D15+'6a.sz.mellékle (10)'!G15</f>
        <v>0</v>
      </c>
    </row>
    <row r="16" spans="1:13" ht="22.5">
      <c r="A16" s="1303" t="s">
        <v>421</v>
      </c>
      <c r="B16" s="65"/>
      <c r="C16" s="65"/>
      <c r="D16" s="65"/>
      <c r="E16" s="65"/>
      <c r="F16" s="65"/>
      <c r="G16" s="65"/>
      <c r="H16" s="65"/>
      <c r="I16" s="65"/>
      <c r="J16" s="65"/>
      <c r="K16" s="65">
        <f>SUM('6a.sz.melléklet (1)'!B16+'6a.sz.melléklet (1)'!E16+'6a.sz.melléklet (1)'!H16+'6a.sz.melléklet (1)'!K16)+'6a.sz.mellékle (2)'!B16+'6a.sz.mellékle (2)'!E16+'6a.sz.mellékle (2)'!H16+'6a.sz.mellékle (2)'!K16+'6a.sz.mellékle (3)'!B16+'6a.sz.mellékle (3)'!E16+'6a.sz.mellékle (3)'!H16+'6a.sz.mellékle (3)'!K16+'6a.sz.mellékle (4)'!B16+'6a.sz.mellékle (4)'!E16+'6a.sz.mellékle (4)'!H16+'6a.sz.mellékle (4)'!K16+'6a.sz.mellékle (5)'!B16+'6a.sz.mellékle (5)'!E16+'6a.sz.mellékle (5)'!H16+'6a.sz.mellékle (5)'!K16+'6a.sz.mellékle (6)'!B16+'6a.sz.mellékle (6)'!E16+'6a.sz.mellékle (6)'!H16+'6a.sz.mellékle (6)'!K16+'6a.sz.mellékle (7)'!B16+'6a.sz.mellékle (7)'!E16+'6a.sz.mellékle (7)'!H16+'6a.sz.mellékle (7)'!K16+'6a.sz.mellékle (8)'!B16+'6a.sz.mellékle (8)'!E16+'6a.sz.mellékle (8)'!H16+'6a.sz.mellékle (8)'!K16+'6a.sz.mellékle (9)'!B16+'6a.sz.mellékle (9)'!E16+'6a.sz.mellékle (9)'!H16+'6a.sz.mellékle (9)'!K16+'6a.sz.mellékle (10)'!B16+'6a.sz.mellékle (10)'!E16</f>
        <v>0</v>
      </c>
      <c r="L16" s="65">
        <f>SUM('6a.sz.melléklet (1)'!C16+'6a.sz.melléklet (1)'!F16+'6a.sz.melléklet (1)'!I16+'6a.sz.melléklet (1)'!L16)+'6a.sz.mellékle (2)'!C16+'6a.sz.mellékle (2)'!F16+'6a.sz.mellékle (2)'!I16+'6a.sz.mellékle (2)'!L16+'6a.sz.mellékle (3)'!C16+'6a.sz.mellékle (3)'!F16+'6a.sz.mellékle (3)'!I16+'6a.sz.mellékle (3)'!L16+'6a.sz.mellékle (4)'!C16+'6a.sz.mellékle (4)'!F16+'6a.sz.mellékle (4)'!I16+'6a.sz.mellékle (4)'!L16+'6a.sz.mellékle (5)'!C16+'6a.sz.mellékle (5)'!F16+'6a.sz.mellékle (5)'!I16+'6a.sz.mellékle (5)'!L16+'6a.sz.mellékle (6)'!C16+'6a.sz.mellékle (6)'!F16+'6a.sz.mellékle (6)'!I16+'6a.sz.mellékle (6)'!L16+'6a.sz.mellékle (7)'!C16+'6a.sz.mellékle (7)'!F16+'6a.sz.mellékle (7)'!I16+'6a.sz.mellékle (7)'!L16+'6a.sz.mellékle (8)'!C16+'6a.sz.mellékle (8)'!F16+'6a.sz.mellékle (8)'!I16+'6a.sz.mellékle (8)'!L16+'6a.sz.mellékle (9)'!C16+'6a.sz.mellékle (9)'!F16+'6a.sz.mellékle (9)'!I16+'6a.sz.mellékle (9)'!L16+'6a.sz.mellékle (10)'!C16+'6a.sz.mellékle (10)'!F16</f>
        <v>0</v>
      </c>
      <c r="M16" s="65">
        <f>SUM('6a.sz.melléklet (1)'!D16+'6a.sz.melléklet (1)'!G16+'6a.sz.melléklet (1)'!J16+'6a.sz.melléklet (1)'!M16)+'6a.sz.mellékle (2)'!D16+'6a.sz.mellékle (2)'!G16+'6a.sz.mellékle (2)'!J16+'6a.sz.mellékle (2)'!M16+'6a.sz.mellékle (3)'!D16+'6a.sz.mellékle (3)'!G16+'6a.sz.mellékle (3)'!J16+'6a.sz.mellékle (3)'!M16+'6a.sz.mellékle (4)'!D16+'6a.sz.mellékle (4)'!G16+'6a.sz.mellékle (4)'!J16+'6a.sz.mellékle (4)'!M16+'6a.sz.mellékle (5)'!D16+'6a.sz.mellékle (5)'!G16+'6a.sz.mellékle (5)'!J16+'6a.sz.mellékle (5)'!M16+'6a.sz.mellékle (6)'!D16+'6a.sz.mellékle (6)'!G16+'6a.sz.mellékle (6)'!J16+'6a.sz.mellékle (6)'!M16+'6a.sz.mellékle (7)'!D16+'6a.sz.mellékle (7)'!G16+'6a.sz.mellékle (7)'!J16+'6a.sz.mellékle (7)'!M16+'6a.sz.mellékle (8)'!D16+'6a.sz.mellékle (8)'!G16+'6a.sz.mellékle (8)'!J16+'6a.sz.mellékle (8)'!M16+'6a.sz.mellékle (9)'!D16+'6a.sz.mellékle (9)'!G16+'6a.sz.mellékle (9)'!J16+'6a.sz.mellékle (9)'!M16+'6a.sz.mellékle (10)'!D16+'6a.sz.mellékle (10)'!G16</f>
        <v>0</v>
      </c>
    </row>
    <row r="17" spans="1:13" ht="12.75">
      <c r="A17" s="353" t="s">
        <v>135</v>
      </c>
      <c r="B17" s="65"/>
      <c r="C17" s="65"/>
      <c r="D17" s="65"/>
      <c r="E17" s="65"/>
      <c r="F17" s="65"/>
      <c r="G17" s="65"/>
      <c r="H17" s="65"/>
      <c r="I17" s="65"/>
      <c r="J17" s="65"/>
      <c r="K17" s="65">
        <f>SUM('6a.sz.melléklet (1)'!B17+'6a.sz.melléklet (1)'!E17+'6a.sz.melléklet (1)'!H17+'6a.sz.melléklet (1)'!K17)+'6a.sz.mellékle (2)'!B17+'6a.sz.mellékle (2)'!E17+'6a.sz.mellékle (2)'!H17+'6a.sz.mellékle (2)'!K17+'6a.sz.mellékle (3)'!B17+'6a.sz.mellékle (3)'!E17+'6a.sz.mellékle (3)'!H17+'6a.sz.mellékle (3)'!K17+'6a.sz.mellékle (4)'!B17+'6a.sz.mellékle (4)'!E17+'6a.sz.mellékle (4)'!H17+'6a.sz.mellékle (4)'!K17+'6a.sz.mellékle (5)'!B17+'6a.sz.mellékle (5)'!E17+'6a.sz.mellékle (5)'!H17+'6a.sz.mellékle (5)'!K17+'6a.sz.mellékle (6)'!B17+'6a.sz.mellékle (6)'!E17+'6a.sz.mellékle (6)'!H17+'6a.sz.mellékle (6)'!K17+'6a.sz.mellékle (7)'!B17+'6a.sz.mellékle (7)'!E17+'6a.sz.mellékle (7)'!H17+'6a.sz.mellékle (7)'!K17+'6a.sz.mellékle (8)'!B17+'6a.sz.mellékle (8)'!E17+'6a.sz.mellékle (8)'!H17+'6a.sz.mellékle (8)'!K17+'6a.sz.mellékle (9)'!B17+'6a.sz.mellékle (9)'!E17+'6a.sz.mellékle (9)'!H17+'6a.sz.mellékle (9)'!K17+'6a.sz.mellékle (10)'!B17+'6a.sz.mellékle (10)'!E17</f>
        <v>0</v>
      </c>
      <c r="L17" s="65">
        <f>SUM('6a.sz.melléklet (1)'!C17+'6a.sz.melléklet (1)'!F17+'6a.sz.melléklet (1)'!I17+'6a.sz.melléklet (1)'!L17)+'6a.sz.mellékle (2)'!C17+'6a.sz.mellékle (2)'!F17+'6a.sz.mellékle (2)'!I17+'6a.sz.mellékle (2)'!L17+'6a.sz.mellékle (3)'!C17+'6a.sz.mellékle (3)'!F17+'6a.sz.mellékle (3)'!I17+'6a.sz.mellékle (3)'!L17+'6a.sz.mellékle (4)'!C17+'6a.sz.mellékle (4)'!F17+'6a.sz.mellékle (4)'!I17+'6a.sz.mellékle (4)'!L17+'6a.sz.mellékle (5)'!C17+'6a.sz.mellékle (5)'!F17+'6a.sz.mellékle (5)'!I17+'6a.sz.mellékle (5)'!L17+'6a.sz.mellékle (6)'!C17+'6a.sz.mellékle (6)'!F17+'6a.sz.mellékle (6)'!I17+'6a.sz.mellékle (6)'!L17+'6a.sz.mellékle (7)'!C17+'6a.sz.mellékle (7)'!F17+'6a.sz.mellékle (7)'!I17+'6a.sz.mellékle (7)'!L17+'6a.sz.mellékle (8)'!C17+'6a.sz.mellékle (8)'!F17+'6a.sz.mellékle (8)'!I17+'6a.sz.mellékle (8)'!L17+'6a.sz.mellékle (9)'!C17+'6a.sz.mellékle (9)'!F17+'6a.sz.mellékle (9)'!I17+'6a.sz.mellékle (9)'!L17+'6a.sz.mellékle (10)'!C17+'6a.sz.mellékle (10)'!F17</f>
        <v>0</v>
      </c>
      <c r="M17" s="65">
        <f>SUM('6a.sz.melléklet (1)'!D17+'6a.sz.melléklet (1)'!G17+'6a.sz.melléklet (1)'!J17+'6a.sz.melléklet (1)'!M17)+'6a.sz.mellékle (2)'!D17+'6a.sz.mellékle (2)'!G17+'6a.sz.mellékle (2)'!J17+'6a.sz.mellékle (2)'!M17+'6a.sz.mellékle (3)'!D17+'6a.sz.mellékle (3)'!G17+'6a.sz.mellékle (3)'!J17+'6a.sz.mellékle (3)'!M17+'6a.sz.mellékle (4)'!D17+'6a.sz.mellékle (4)'!G17+'6a.sz.mellékle (4)'!J17+'6a.sz.mellékle (4)'!M17+'6a.sz.mellékle (5)'!D17+'6a.sz.mellékle (5)'!G17+'6a.sz.mellékle (5)'!J17+'6a.sz.mellékle (5)'!M17+'6a.sz.mellékle (6)'!D17+'6a.sz.mellékle (6)'!G17+'6a.sz.mellékle (6)'!J17+'6a.sz.mellékle (6)'!M17+'6a.sz.mellékle (7)'!D17+'6a.sz.mellékle (7)'!G17+'6a.sz.mellékle (7)'!J17+'6a.sz.mellékle (7)'!M17+'6a.sz.mellékle (8)'!D17+'6a.sz.mellékle (8)'!G17+'6a.sz.mellékle (8)'!J17+'6a.sz.mellékle (8)'!M17+'6a.sz.mellékle (9)'!D17+'6a.sz.mellékle (9)'!G17+'6a.sz.mellékle (9)'!J17+'6a.sz.mellékle (9)'!M17+'6a.sz.mellékle (10)'!D17+'6a.sz.mellékle (10)'!G17</f>
        <v>0</v>
      </c>
    </row>
    <row r="18" spans="1:13" s="189" customFormat="1" ht="12.75">
      <c r="A18" s="351" t="s">
        <v>127</v>
      </c>
      <c r="B18" s="66">
        <f aca="true" t="shared" si="0" ref="B18:M18">SUM(B13:B17)</f>
        <v>345144</v>
      </c>
      <c r="C18" s="66">
        <f t="shared" si="0"/>
        <v>0</v>
      </c>
      <c r="D18" s="66">
        <f t="shared" si="0"/>
        <v>0</v>
      </c>
      <c r="E18" s="66">
        <f t="shared" si="0"/>
        <v>313040</v>
      </c>
      <c r="F18" s="66">
        <f t="shared" si="0"/>
        <v>0</v>
      </c>
      <c r="G18" s="66">
        <f t="shared" si="0"/>
        <v>0</v>
      </c>
      <c r="H18" s="66">
        <f t="shared" si="0"/>
        <v>0</v>
      </c>
      <c r="I18" s="66">
        <f t="shared" si="0"/>
        <v>0</v>
      </c>
      <c r="J18" s="66">
        <f t="shared" si="0"/>
        <v>0</v>
      </c>
      <c r="K18" s="66">
        <f t="shared" si="0"/>
        <v>5686047</v>
      </c>
      <c r="L18" s="66">
        <f t="shared" si="0"/>
        <v>0</v>
      </c>
      <c r="M18" s="66">
        <f t="shared" si="0"/>
        <v>0</v>
      </c>
    </row>
    <row r="19" spans="1:13" ht="12.75">
      <c r="A19" s="353" t="s">
        <v>800</v>
      </c>
      <c r="B19" s="65"/>
      <c r="C19" s="65"/>
      <c r="D19" s="65"/>
      <c r="E19" s="65">
        <v>5000</v>
      </c>
      <c r="F19" s="65"/>
      <c r="G19" s="65"/>
      <c r="H19" s="65"/>
      <c r="I19" s="65"/>
      <c r="J19" s="65"/>
      <c r="K19" s="65">
        <f>SUM('6a.sz.melléklet (1)'!B19+'6a.sz.melléklet (1)'!E19+'6a.sz.melléklet (1)'!H19+'6a.sz.melléklet (1)'!K19)+'6a.sz.mellékle (2)'!B19+'6a.sz.mellékle (2)'!E19+'6a.sz.mellékle (2)'!H19+'6a.sz.mellékle (2)'!K19+'6a.sz.mellékle (3)'!B19+'6a.sz.mellékle (3)'!E19+'6a.sz.mellékle (3)'!H19+'6a.sz.mellékle (3)'!K19+'6a.sz.mellékle (4)'!B19+'6a.sz.mellékle (4)'!E19+'6a.sz.mellékle (4)'!H19+'6a.sz.mellékle (4)'!K19+'6a.sz.mellékle (5)'!B19+'6a.sz.mellékle (5)'!E19+'6a.sz.mellékle (5)'!H19+'6a.sz.mellékle (5)'!K19+'6a.sz.mellékle (6)'!B19+'6a.sz.mellékle (6)'!E19+'6a.sz.mellékle (6)'!H19+'6a.sz.mellékle (6)'!K19+'6a.sz.mellékle (7)'!B19+'6a.sz.mellékle (7)'!E19+'6a.sz.mellékle (7)'!H19+'6a.sz.mellékle (7)'!K19+'6a.sz.mellékle (8)'!B19+'6a.sz.mellékle (8)'!E19+'6a.sz.mellékle (8)'!H19+'6a.sz.mellékle (8)'!K19+'6a.sz.mellékle (9)'!B19+'6a.sz.mellékle (9)'!E19+'6a.sz.mellékle (9)'!H19+'6a.sz.mellékle (9)'!K19+'6a.sz.mellékle (10)'!B19+'6a.sz.mellékle (10)'!E19</f>
        <v>5000</v>
      </c>
      <c r="L19" s="65">
        <f>SUM('6a.sz.melléklet (1)'!C19+'6a.sz.melléklet (1)'!F19+'6a.sz.melléklet (1)'!I19+'6a.sz.melléklet (1)'!L19)+'6a.sz.mellékle (2)'!C19+'6a.sz.mellékle (2)'!F19+'6a.sz.mellékle (2)'!I19+'6a.sz.mellékle (2)'!L19+'6a.sz.mellékle (3)'!C19+'6a.sz.mellékle (3)'!F19+'6a.sz.mellékle (3)'!I19+'6a.sz.mellékle (3)'!L19+'6a.sz.mellékle (4)'!C19+'6a.sz.mellékle (4)'!F19+'6a.sz.mellékle (4)'!I19+'6a.sz.mellékle (4)'!L19+'6a.sz.mellékle (5)'!C19+'6a.sz.mellékle (5)'!F19+'6a.sz.mellékle (5)'!I19+'6a.sz.mellékle (5)'!L19+'6a.sz.mellékle (6)'!C19+'6a.sz.mellékle (6)'!F19+'6a.sz.mellékle (6)'!I19+'6a.sz.mellékle (6)'!L19+'6a.sz.mellékle (7)'!C19+'6a.sz.mellékle (7)'!F19+'6a.sz.mellékle (7)'!I19+'6a.sz.mellékle (7)'!L19+'6a.sz.mellékle (8)'!C19+'6a.sz.mellékle (8)'!F19+'6a.sz.mellékle (8)'!I19+'6a.sz.mellékle (8)'!L19+'6a.sz.mellékle (9)'!C19+'6a.sz.mellékle (9)'!F19+'6a.sz.mellékle (9)'!I19+'6a.sz.mellékle (9)'!L19+'6a.sz.mellékle (10)'!C19+'6a.sz.mellékle (10)'!F19</f>
        <v>0</v>
      </c>
      <c r="M19" s="65">
        <f>SUM('6a.sz.melléklet (1)'!D19+'6a.sz.melléklet (1)'!G19+'6a.sz.melléklet (1)'!J19+'6a.sz.melléklet (1)'!M19)+'6a.sz.mellékle (2)'!D19+'6a.sz.mellékle (2)'!G19+'6a.sz.mellékle (2)'!J19+'6a.sz.mellékle (2)'!M19+'6a.sz.mellékle (3)'!D19+'6a.sz.mellékle (3)'!G19+'6a.sz.mellékle (3)'!J19+'6a.sz.mellékle (3)'!M19+'6a.sz.mellékle (4)'!D19+'6a.sz.mellékle (4)'!G19+'6a.sz.mellékle (4)'!J19+'6a.sz.mellékle (4)'!M19+'6a.sz.mellékle (5)'!D19+'6a.sz.mellékle (5)'!G19+'6a.sz.mellékle (5)'!J19+'6a.sz.mellékle (5)'!M19+'6a.sz.mellékle (6)'!D19+'6a.sz.mellékle (6)'!G19+'6a.sz.mellékle (6)'!J19+'6a.sz.mellékle (6)'!M19+'6a.sz.mellékle (7)'!D19+'6a.sz.mellékle (7)'!G19+'6a.sz.mellékle (7)'!J19+'6a.sz.mellékle (7)'!M19+'6a.sz.mellékle (8)'!D19+'6a.sz.mellékle (8)'!G19+'6a.sz.mellékle (8)'!J19+'6a.sz.mellékle (8)'!M19+'6a.sz.mellékle (9)'!D19+'6a.sz.mellékle (9)'!G19+'6a.sz.mellékle (9)'!J19+'6a.sz.mellékle (9)'!M19+'6a.sz.mellékle (10)'!D19+'6a.sz.mellékle (10)'!G19</f>
        <v>0</v>
      </c>
    </row>
    <row r="20" spans="1:13" ht="12.75">
      <c r="A20" s="353" t="s">
        <v>801</v>
      </c>
      <c r="B20" s="65"/>
      <c r="C20" s="65"/>
      <c r="D20" s="65"/>
      <c r="E20" s="65"/>
      <c r="F20" s="65"/>
      <c r="G20" s="65"/>
      <c r="H20" s="65"/>
      <c r="I20" s="65"/>
      <c r="J20" s="65"/>
      <c r="K20" s="65">
        <f>SUM('6a.sz.melléklet (1)'!B20+'6a.sz.melléklet (1)'!E20+'6a.sz.melléklet (1)'!H20+'6a.sz.melléklet (1)'!K20)+'6a.sz.mellékle (2)'!B20+'6a.sz.mellékle (2)'!E20+'6a.sz.mellékle (2)'!H20+'6a.sz.mellékle (2)'!K20+'6a.sz.mellékle (3)'!B20+'6a.sz.mellékle (3)'!E20+'6a.sz.mellékle (3)'!H20+'6a.sz.mellékle (3)'!K20+'6a.sz.mellékle (4)'!B20+'6a.sz.mellékle (4)'!E20+'6a.sz.mellékle (4)'!H20+'6a.sz.mellékle (4)'!K20+'6a.sz.mellékle (5)'!B20+'6a.sz.mellékle (5)'!E20+'6a.sz.mellékle (5)'!H20+'6a.sz.mellékle (5)'!K20+'6a.sz.mellékle (6)'!B20+'6a.sz.mellékle (6)'!E20+'6a.sz.mellékle (6)'!H20+'6a.sz.mellékle (6)'!K20+'6a.sz.mellékle (7)'!B20+'6a.sz.mellékle (7)'!E20+'6a.sz.mellékle (7)'!H20+'6a.sz.mellékle (7)'!K20+'6a.sz.mellékle (8)'!B20+'6a.sz.mellékle (8)'!E20+'6a.sz.mellékle (8)'!H20+'6a.sz.mellékle (8)'!K20+'6a.sz.mellékle (9)'!B20+'6a.sz.mellékle (9)'!E20+'6a.sz.mellékle (9)'!H20+'6a.sz.mellékle (9)'!K20+'6a.sz.mellékle (10)'!B20+'6a.sz.mellékle (10)'!E20</f>
        <v>0</v>
      </c>
      <c r="L20" s="65">
        <f>SUM('6a.sz.melléklet (1)'!C20+'6a.sz.melléklet (1)'!F20+'6a.sz.melléklet (1)'!I20+'6a.sz.melléklet (1)'!L20)+'6a.sz.mellékle (2)'!C20+'6a.sz.mellékle (2)'!F20+'6a.sz.mellékle (2)'!I20+'6a.sz.mellékle (2)'!L20+'6a.sz.mellékle (3)'!C20+'6a.sz.mellékle (3)'!F20+'6a.sz.mellékle (3)'!I20+'6a.sz.mellékle (3)'!L20+'6a.sz.mellékle (4)'!C20+'6a.sz.mellékle (4)'!F20+'6a.sz.mellékle (4)'!I20+'6a.sz.mellékle (4)'!L20+'6a.sz.mellékle (5)'!C20+'6a.sz.mellékle (5)'!F20+'6a.sz.mellékle (5)'!I20+'6a.sz.mellékle (5)'!L20+'6a.sz.mellékle (6)'!C20+'6a.sz.mellékle (6)'!F20+'6a.sz.mellékle (6)'!I20+'6a.sz.mellékle (6)'!L20+'6a.sz.mellékle (7)'!C20+'6a.sz.mellékle (7)'!F20+'6a.sz.mellékle (7)'!I20+'6a.sz.mellékle (7)'!L20+'6a.sz.mellékle (8)'!C20+'6a.sz.mellékle (8)'!F20+'6a.sz.mellékle (8)'!I20+'6a.sz.mellékle (8)'!L20+'6a.sz.mellékle (9)'!C20+'6a.sz.mellékle (9)'!F20+'6a.sz.mellékle (9)'!I20+'6a.sz.mellékle (9)'!L20+'6a.sz.mellékle (10)'!C20+'6a.sz.mellékle (10)'!F20</f>
        <v>0</v>
      </c>
      <c r="M20" s="65">
        <f>SUM('6a.sz.melléklet (1)'!D20+'6a.sz.melléklet (1)'!G20+'6a.sz.melléklet (1)'!J20+'6a.sz.melléklet (1)'!M20)+'6a.sz.mellékle (2)'!D20+'6a.sz.mellékle (2)'!G20+'6a.sz.mellékle (2)'!J20+'6a.sz.mellékle (2)'!M20+'6a.sz.mellékle (3)'!D20+'6a.sz.mellékle (3)'!G20+'6a.sz.mellékle (3)'!J20+'6a.sz.mellékle (3)'!M20+'6a.sz.mellékle (4)'!D20+'6a.sz.mellékle (4)'!G20+'6a.sz.mellékle (4)'!J20+'6a.sz.mellékle (4)'!M20+'6a.sz.mellékle (5)'!D20+'6a.sz.mellékle (5)'!G20+'6a.sz.mellékle (5)'!J20+'6a.sz.mellékle (5)'!M20+'6a.sz.mellékle (6)'!D20+'6a.sz.mellékle (6)'!G20+'6a.sz.mellékle (6)'!J20+'6a.sz.mellékle (6)'!M20+'6a.sz.mellékle (7)'!D20+'6a.sz.mellékle (7)'!G20+'6a.sz.mellékle (7)'!J20+'6a.sz.mellékle (7)'!M20+'6a.sz.mellékle (8)'!D20+'6a.sz.mellékle (8)'!G20+'6a.sz.mellékle (8)'!J20+'6a.sz.mellékle (8)'!M20+'6a.sz.mellékle (9)'!D20+'6a.sz.mellékle (9)'!G20+'6a.sz.mellékle (9)'!J20+'6a.sz.mellékle (9)'!M20+'6a.sz.mellékle (10)'!D20+'6a.sz.mellékle (10)'!G20</f>
        <v>0</v>
      </c>
    </row>
    <row r="21" spans="1:13" ht="22.5">
      <c r="A21" s="1303" t="s">
        <v>799</v>
      </c>
      <c r="B21" s="65"/>
      <c r="C21" s="65"/>
      <c r="D21" s="65"/>
      <c r="E21" s="65"/>
      <c r="F21" s="65"/>
      <c r="G21" s="65"/>
      <c r="H21" s="65"/>
      <c r="I21" s="65"/>
      <c r="J21" s="65"/>
      <c r="K21" s="65">
        <f>SUM('6a.sz.melléklet (1)'!B21+'6a.sz.melléklet (1)'!E21+'6a.sz.melléklet (1)'!H21+'6a.sz.melléklet (1)'!K21)+'6a.sz.mellékle (2)'!B21+'6a.sz.mellékle (2)'!E21+'6a.sz.mellékle (2)'!H21+'6a.sz.mellékle (2)'!K21+'6a.sz.mellékle (3)'!B21+'6a.sz.mellékle (3)'!E21+'6a.sz.mellékle (3)'!H21+'6a.sz.mellékle (3)'!K21+'6a.sz.mellékle (4)'!B21+'6a.sz.mellékle (4)'!E21+'6a.sz.mellékle (4)'!H21+'6a.sz.mellékle (4)'!K21+'6a.sz.mellékle (5)'!B21+'6a.sz.mellékle (5)'!E21+'6a.sz.mellékle (5)'!H21+'6a.sz.mellékle (5)'!K21+'6a.sz.mellékle (6)'!B21+'6a.sz.mellékle (6)'!E21+'6a.sz.mellékle (6)'!H21+'6a.sz.mellékle (6)'!K21+'6a.sz.mellékle (7)'!B21+'6a.sz.mellékle (7)'!E21+'6a.sz.mellékle (7)'!H21+'6a.sz.mellékle (7)'!K21+'6a.sz.mellékle (8)'!B21+'6a.sz.mellékle (8)'!E21+'6a.sz.mellékle (8)'!H21+'6a.sz.mellékle (8)'!K21+'6a.sz.mellékle (9)'!B21+'6a.sz.mellékle (9)'!E21+'6a.sz.mellékle (9)'!H21+'6a.sz.mellékle (9)'!K21+'6a.sz.mellékle (10)'!B21+'6a.sz.mellékle (10)'!E21</f>
        <v>0</v>
      </c>
      <c r="L21" s="65">
        <f>SUM('6a.sz.melléklet (1)'!C21+'6a.sz.melléklet (1)'!F21+'6a.sz.melléklet (1)'!I21+'6a.sz.melléklet (1)'!L21)+'6a.sz.mellékle (2)'!C21+'6a.sz.mellékle (2)'!F21+'6a.sz.mellékle (2)'!I21+'6a.sz.mellékle (2)'!L21+'6a.sz.mellékle (3)'!C21+'6a.sz.mellékle (3)'!F21+'6a.sz.mellékle (3)'!I21+'6a.sz.mellékle (3)'!L21+'6a.sz.mellékle (4)'!C21+'6a.sz.mellékle (4)'!F21+'6a.sz.mellékle (4)'!I21+'6a.sz.mellékle (4)'!L21+'6a.sz.mellékle (5)'!C21+'6a.sz.mellékle (5)'!F21+'6a.sz.mellékle (5)'!I21+'6a.sz.mellékle (5)'!L21+'6a.sz.mellékle (6)'!C21+'6a.sz.mellékle (6)'!F21+'6a.sz.mellékle (6)'!I21+'6a.sz.mellékle (6)'!L21+'6a.sz.mellékle (7)'!C21+'6a.sz.mellékle (7)'!F21+'6a.sz.mellékle (7)'!I21+'6a.sz.mellékle (7)'!L21+'6a.sz.mellékle (8)'!C21+'6a.sz.mellékle (8)'!F21+'6a.sz.mellékle (8)'!I21+'6a.sz.mellékle (8)'!L21+'6a.sz.mellékle (9)'!C21+'6a.sz.mellékle (9)'!F21+'6a.sz.mellékle (9)'!I21+'6a.sz.mellékle (9)'!L21+'6a.sz.mellékle (10)'!C21+'6a.sz.mellékle (10)'!F21</f>
        <v>0</v>
      </c>
      <c r="M21" s="65">
        <f>SUM('6a.sz.melléklet (1)'!D21+'6a.sz.melléklet (1)'!G21+'6a.sz.melléklet (1)'!J21+'6a.sz.melléklet (1)'!M21)+'6a.sz.mellékle (2)'!D21+'6a.sz.mellékle (2)'!G21+'6a.sz.mellékle (2)'!J21+'6a.sz.mellékle (2)'!M21+'6a.sz.mellékle (3)'!D21+'6a.sz.mellékle (3)'!G21+'6a.sz.mellékle (3)'!J21+'6a.sz.mellékle (3)'!M21+'6a.sz.mellékle (4)'!D21+'6a.sz.mellékle (4)'!G21+'6a.sz.mellékle (4)'!J21+'6a.sz.mellékle (4)'!M21+'6a.sz.mellékle (5)'!D21+'6a.sz.mellékle (5)'!G21+'6a.sz.mellékle (5)'!J21+'6a.sz.mellékle (5)'!M21+'6a.sz.mellékle (6)'!D21+'6a.sz.mellékle (6)'!G21+'6a.sz.mellékle (6)'!J21+'6a.sz.mellékle (6)'!M21+'6a.sz.mellékle (7)'!D21+'6a.sz.mellékle (7)'!G21+'6a.sz.mellékle (7)'!J21+'6a.sz.mellékle (7)'!M21+'6a.sz.mellékle (8)'!D21+'6a.sz.mellékle (8)'!G21+'6a.sz.mellékle (8)'!J21+'6a.sz.mellékle (8)'!M21+'6a.sz.mellékle (9)'!D21+'6a.sz.mellékle (9)'!G21+'6a.sz.mellékle (9)'!J21+'6a.sz.mellékle (9)'!M21+'6a.sz.mellékle (10)'!D21+'6a.sz.mellékle (10)'!G21</f>
        <v>0</v>
      </c>
    </row>
    <row r="22" spans="1:13" s="189" customFormat="1" ht="12.75">
      <c r="A22" s="351" t="s">
        <v>719</v>
      </c>
      <c r="B22" s="66">
        <f aca="true" t="shared" si="1" ref="B22:M22">SUM(B19:B21)</f>
        <v>0</v>
      </c>
      <c r="C22" s="66">
        <f t="shared" si="1"/>
        <v>0</v>
      </c>
      <c r="D22" s="66">
        <f t="shared" si="1"/>
        <v>0</v>
      </c>
      <c r="E22" s="66">
        <f t="shared" si="1"/>
        <v>5000</v>
      </c>
      <c r="F22" s="66">
        <f t="shared" si="1"/>
        <v>0</v>
      </c>
      <c r="G22" s="66">
        <f t="shared" si="1"/>
        <v>0</v>
      </c>
      <c r="H22" s="66">
        <f t="shared" si="1"/>
        <v>0</v>
      </c>
      <c r="I22" s="66">
        <f t="shared" si="1"/>
        <v>0</v>
      </c>
      <c r="J22" s="66">
        <f t="shared" si="1"/>
        <v>0</v>
      </c>
      <c r="K22" s="66">
        <f t="shared" si="1"/>
        <v>5000</v>
      </c>
      <c r="L22" s="66">
        <f t="shared" si="1"/>
        <v>0</v>
      </c>
      <c r="M22" s="66">
        <f t="shared" si="1"/>
        <v>0</v>
      </c>
    </row>
    <row r="23" spans="1:13" s="189" customFormat="1" ht="12.75">
      <c r="A23" s="358" t="s">
        <v>720</v>
      </c>
      <c r="B23" s="66">
        <f aca="true" t="shared" si="2" ref="B23:M23">SUM(B18+B22)</f>
        <v>345144</v>
      </c>
      <c r="C23" s="66">
        <f t="shared" si="2"/>
        <v>0</v>
      </c>
      <c r="D23" s="66">
        <f t="shared" si="2"/>
        <v>0</v>
      </c>
      <c r="E23" s="66">
        <f t="shared" si="2"/>
        <v>318040</v>
      </c>
      <c r="F23" s="66">
        <f t="shared" si="2"/>
        <v>0</v>
      </c>
      <c r="G23" s="66">
        <f t="shared" si="2"/>
        <v>0</v>
      </c>
      <c r="H23" s="66">
        <f t="shared" si="2"/>
        <v>0</v>
      </c>
      <c r="I23" s="66">
        <f t="shared" si="2"/>
        <v>0</v>
      </c>
      <c r="J23" s="66">
        <f t="shared" si="2"/>
        <v>0</v>
      </c>
      <c r="K23" s="66">
        <f t="shared" si="2"/>
        <v>5691047</v>
      </c>
      <c r="L23" s="66">
        <f t="shared" si="2"/>
        <v>0</v>
      </c>
      <c r="M23" s="66">
        <f t="shared" si="2"/>
        <v>0</v>
      </c>
    </row>
    <row r="24" spans="1:13" s="189" customFormat="1" ht="12.75">
      <c r="A24" s="351" t="s">
        <v>721</v>
      </c>
      <c r="B24" s="66"/>
      <c r="C24" s="66"/>
      <c r="D24" s="65"/>
      <c r="E24" s="66"/>
      <c r="F24" s="66"/>
      <c r="G24" s="65"/>
      <c r="H24" s="66"/>
      <c r="I24" s="66"/>
      <c r="J24" s="65"/>
      <c r="K24" s="66"/>
      <c r="L24" s="66"/>
      <c r="M24" s="65"/>
    </row>
    <row r="25" spans="1:13" ht="24">
      <c r="A25" s="339" t="s">
        <v>422</v>
      </c>
      <c r="B25" s="65"/>
      <c r="C25" s="65"/>
      <c r="D25" s="65"/>
      <c r="E25" s="65"/>
      <c r="F25" s="65"/>
      <c r="G25" s="65"/>
      <c r="H25" s="65"/>
      <c r="I25" s="65"/>
      <c r="J25" s="65"/>
      <c r="K25" s="65">
        <f>SUM('6a.sz.melléklet (1)'!B25+'6a.sz.melléklet (1)'!E25+'6a.sz.melléklet (1)'!H25+'6a.sz.melléklet (1)'!K25)+'6a.sz.mellékle (2)'!B25+'6a.sz.mellékle (2)'!E25+'6a.sz.mellékle (2)'!H25+'6a.sz.mellékle (2)'!K25+'6a.sz.mellékle (3)'!B25+'6a.sz.mellékle (3)'!E25+'6a.sz.mellékle (3)'!H25+'6a.sz.mellékle (3)'!K25+'6a.sz.mellékle (4)'!B25+'6a.sz.mellékle (4)'!E25+'6a.sz.mellékle (4)'!H25+'6a.sz.mellékle (4)'!K25+'6a.sz.mellékle (5)'!B25+'6a.sz.mellékle (5)'!E25+'6a.sz.mellékle (5)'!H25+'6a.sz.mellékle (5)'!K25+'6a.sz.mellékle (6)'!B25+'6a.sz.mellékle (6)'!E25+'6a.sz.mellékle (6)'!H25+'6a.sz.mellékle (6)'!K25+'6a.sz.mellékle (7)'!B25+'6a.sz.mellékle (7)'!E25+'6a.sz.mellékle (7)'!H25+'6a.sz.mellékle (7)'!K25+'6a.sz.mellékle (8)'!B25+'6a.sz.mellékle (8)'!E25+'6a.sz.mellékle (8)'!H25+'6a.sz.mellékle (8)'!K25+'6a.sz.mellékle (9)'!B25+'6a.sz.mellékle (9)'!E25+'6a.sz.mellékle (9)'!H25+'6a.sz.mellékle (9)'!K25+'6a.sz.mellékle (10)'!B25+'6a.sz.mellékle (10)'!E25</f>
        <v>0</v>
      </c>
      <c r="L25" s="65">
        <f>SUM('6a.sz.melléklet (1)'!C25+'6a.sz.melléklet (1)'!F25+'6a.sz.melléklet (1)'!I25+'6a.sz.melléklet (1)'!L25)+'6a.sz.mellékle (2)'!C25+'6a.sz.mellékle (2)'!F25+'6a.sz.mellékle (2)'!I25+'6a.sz.mellékle (2)'!L25+'6a.sz.mellékle (3)'!C25+'6a.sz.mellékle (3)'!F25+'6a.sz.mellékle (3)'!I25+'6a.sz.mellékle (3)'!L25+'6a.sz.mellékle (4)'!C25+'6a.sz.mellékle (4)'!F25+'6a.sz.mellékle (4)'!I25+'6a.sz.mellékle (4)'!L25+'6a.sz.mellékle (5)'!C25+'6a.sz.mellékle (5)'!F25+'6a.sz.mellékle (5)'!I25+'6a.sz.mellékle (5)'!L25+'6a.sz.mellékle (6)'!C25+'6a.sz.mellékle (6)'!F25+'6a.sz.mellékle (6)'!I25+'6a.sz.mellékle (6)'!L25+'6a.sz.mellékle (7)'!C25+'6a.sz.mellékle (7)'!F25+'6a.sz.mellékle (7)'!I25+'6a.sz.mellékle (7)'!L25+'6a.sz.mellékle (8)'!C25+'6a.sz.mellékle (8)'!F25+'6a.sz.mellékle (8)'!I25+'6a.sz.mellékle (8)'!L25+'6a.sz.mellékle (9)'!C25+'6a.sz.mellékle (9)'!F25+'6a.sz.mellékle (9)'!I25+'6a.sz.mellékle (9)'!L25+'6a.sz.mellékle (10)'!C25+'6a.sz.mellékle (10)'!F25</f>
        <v>0</v>
      </c>
      <c r="M25" s="65">
        <f>SUM('6a.sz.melléklet (1)'!D25+'6a.sz.melléklet (1)'!G25+'6a.sz.melléklet (1)'!J25+'6a.sz.melléklet (1)'!M25)+'6a.sz.mellékle (2)'!D25+'6a.sz.mellékle (2)'!G25+'6a.sz.mellékle (2)'!J25+'6a.sz.mellékle (2)'!M25+'6a.sz.mellékle (3)'!D25+'6a.sz.mellékle (3)'!G25+'6a.sz.mellékle (3)'!J25+'6a.sz.mellékle (3)'!M25+'6a.sz.mellékle (4)'!D25+'6a.sz.mellékle (4)'!G25+'6a.sz.mellékle (4)'!J25+'6a.sz.mellékle (4)'!M25+'6a.sz.mellékle (5)'!D25+'6a.sz.mellékle (5)'!G25+'6a.sz.mellékle (5)'!J25+'6a.sz.mellékle (5)'!M25+'6a.sz.mellékle (6)'!D25+'6a.sz.mellékle (6)'!G25+'6a.sz.mellékle (6)'!J25+'6a.sz.mellékle (6)'!M25+'6a.sz.mellékle (7)'!D25+'6a.sz.mellékle (7)'!G25+'6a.sz.mellékle (7)'!J25+'6a.sz.mellékle (7)'!M25+'6a.sz.mellékle (8)'!D25+'6a.sz.mellékle (8)'!G25+'6a.sz.mellékle (8)'!J25+'6a.sz.mellékle (8)'!M25+'6a.sz.mellékle (9)'!D25+'6a.sz.mellékle (9)'!G25+'6a.sz.mellékle (9)'!J25+'6a.sz.mellékle (9)'!M25+'6a.sz.mellékle (10)'!D25+'6a.sz.mellékle (10)'!G25</f>
        <v>0</v>
      </c>
    </row>
    <row r="26" spans="1:13" ht="24">
      <c r="A26" s="339" t="s">
        <v>448</v>
      </c>
      <c r="B26" s="65">
        <v>28454</v>
      </c>
      <c r="C26" s="65"/>
      <c r="D26" s="65"/>
      <c r="E26" s="65">
        <f>7106-1544+9436-52</f>
        <v>14946</v>
      </c>
      <c r="F26" s="65"/>
      <c r="G26" s="65"/>
      <c r="H26" s="65"/>
      <c r="I26" s="65"/>
      <c r="J26" s="65"/>
      <c r="K26" s="65">
        <f>SUM('6a.sz.melléklet (1)'!B26+'6a.sz.melléklet (1)'!E26+'6a.sz.melléklet (1)'!H26+'6a.sz.melléklet (1)'!K26)+'6a.sz.mellékle (2)'!B26+'6a.sz.mellékle (2)'!E26+'6a.sz.mellékle (2)'!H26+'6a.sz.mellékle (2)'!K26+'6a.sz.mellékle (3)'!B26+'6a.sz.mellékle (3)'!E26+'6a.sz.mellékle (3)'!H26+'6a.sz.mellékle (3)'!K26+'6a.sz.mellékle (4)'!B26+'6a.sz.mellékle (4)'!E26+'6a.sz.mellékle (4)'!H26+'6a.sz.mellékle (4)'!K26+'6a.sz.mellékle (5)'!B26+'6a.sz.mellékle (5)'!E26+'6a.sz.mellékle (5)'!H26+'6a.sz.mellékle (5)'!K26+'6a.sz.mellékle (6)'!B26+'6a.sz.mellékle (6)'!E26+'6a.sz.mellékle (6)'!H26+'6a.sz.mellékle (6)'!K26+'6a.sz.mellékle (7)'!B26+'6a.sz.mellékle (7)'!E26+'6a.sz.mellékle (7)'!H26+'6a.sz.mellékle (7)'!K26+'6a.sz.mellékle (8)'!B26+'6a.sz.mellékle (8)'!E26+'6a.sz.mellékle (8)'!H26+'6a.sz.mellékle (8)'!K26+'6a.sz.mellékle (9)'!B26+'6a.sz.mellékle (9)'!E26+'6a.sz.mellékle (9)'!H26+'6a.sz.mellékle (9)'!K26+'6a.sz.mellékle (10)'!B26+'6a.sz.mellékle (10)'!E26</f>
        <v>256110</v>
      </c>
      <c r="L26" s="65">
        <f>SUM('6a.sz.melléklet (1)'!C26+'6a.sz.melléklet (1)'!F26+'6a.sz.melléklet (1)'!I26+'6a.sz.melléklet (1)'!L26)+'6a.sz.mellékle (2)'!C26+'6a.sz.mellékle (2)'!F26+'6a.sz.mellékle (2)'!I26+'6a.sz.mellékle (2)'!L26+'6a.sz.mellékle (3)'!C26+'6a.sz.mellékle (3)'!F26+'6a.sz.mellékle (3)'!I26+'6a.sz.mellékle (3)'!L26+'6a.sz.mellékle (4)'!C26+'6a.sz.mellékle (4)'!F26+'6a.sz.mellékle (4)'!I26+'6a.sz.mellékle (4)'!L26+'6a.sz.mellékle (5)'!C26+'6a.sz.mellékle (5)'!F26+'6a.sz.mellékle (5)'!I26+'6a.sz.mellékle (5)'!L26+'6a.sz.mellékle (6)'!C26+'6a.sz.mellékle (6)'!F26+'6a.sz.mellékle (6)'!I26+'6a.sz.mellékle (6)'!L26+'6a.sz.mellékle (7)'!C26+'6a.sz.mellékle (7)'!F26+'6a.sz.mellékle (7)'!I26+'6a.sz.mellékle (7)'!L26+'6a.sz.mellékle (8)'!C26+'6a.sz.mellékle (8)'!F26+'6a.sz.mellékle (8)'!I26+'6a.sz.mellékle (8)'!L26+'6a.sz.mellékle (9)'!C26+'6a.sz.mellékle (9)'!F26+'6a.sz.mellékle (9)'!I26+'6a.sz.mellékle (9)'!L26+'6a.sz.mellékle (10)'!C26+'6a.sz.mellékle (10)'!F26</f>
        <v>0</v>
      </c>
      <c r="M26" s="65">
        <f>SUM('6a.sz.melléklet (1)'!D26+'6a.sz.melléklet (1)'!G26+'6a.sz.melléklet (1)'!J26+'6a.sz.melléklet (1)'!M26)+'6a.sz.mellékle (2)'!D26+'6a.sz.mellékle (2)'!G26+'6a.sz.mellékle (2)'!J26+'6a.sz.mellékle (2)'!M26+'6a.sz.mellékle (3)'!D26+'6a.sz.mellékle (3)'!G26+'6a.sz.mellékle (3)'!J26+'6a.sz.mellékle (3)'!M26+'6a.sz.mellékle (4)'!D26+'6a.sz.mellékle (4)'!G26+'6a.sz.mellékle (4)'!J26+'6a.sz.mellékle (4)'!M26+'6a.sz.mellékle (5)'!D26+'6a.sz.mellékle (5)'!G26+'6a.sz.mellékle (5)'!J26+'6a.sz.mellékle (5)'!M26+'6a.sz.mellékle (6)'!D26+'6a.sz.mellékle (6)'!G26+'6a.sz.mellékle (6)'!J26+'6a.sz.mellékle (6)'!M26+'6a.sz.mellékle (7)'!D26+'6a.sz.mellékle (7)'!G26+'6a.sz.mellékle (7)'!J26+'6a.sz.mellékle (7)'!M26+'6a.sz.mellékle (8)'!D26+'6a.sz.mellékle (8)'!G26+'6a.sz.mellékle (8)'!J26+'6a.sz.mellékle (8)'!M26+'6a.sz.mellékle (9)'!D26+'6a.sz.mellékle (9)'!G26+'6a.sz.mellékle (9)'!J26+'6a.sz.mellékle (9)'!M26+'6a.sz.mellékle (10)'!D26+'6a.sz.mellékle (10)'!G26</f>
        <v>0</v>
      </c>
    </row>
    <row r="27" spans="1:13" ht="12.75">
      <c r="A27" s="353" t="s">
        <v>449</v>
      </c>
      <c r="B27" s="65"/>
      <c r="C27" s="65"/>
      <c r="D27" s="65"/>
      <c r="E27" s="65">
        <v>1544</v>
      </c>
      <c r="F27" s="65"/>
      <c r="G27" s="65"/>
      <c r="H27" s="65"/>
      <c r="I27" s="65"/>
      <c r="J27" s="65"/>
      <c r="K27" s="65">
        <f>SUM('6a.sz.melléklet (1)'!B27+'6a.sz.melléklet (1)'!E27+'6a.sz.melléklet (1)'!H27+'6a.sz.melléklet (1)'!K27)+'6a.sz.mellékle (2)'!B27+'6a.sz.mellékle (2)'!E27+'6a.sz.mellékle (2)'!H27+'6a.sz.mellékle (2)'!K27+'6a.sz.mellékle (3)'!B27+'6a.sz.mellékle (3)'!E27+'6a.sz.mellékle (3)'!H27+'6a.sz.mellékle (3)'!K27+'6a.sz.mellékle (4)'!B27+'6a.sz.mellékle (4)'!E27+'6a.sz.mellékle (4)'!H27+'6a.sz.mellékle (4)'!K27+'6a.sz.mellékle (5)'!B27+'6a.sz.mellékle (5)'!E27+'6a.sz.mellékle (5)'!H27+'6a.sz.mellékle (5)'!K27+'6a.sz.mellékle (6)'!B27+'6a.sz.mellékle (6)'!E27+'6a.sz.mellékle (6)'!H27+'6a.sz.mellékle (6)'!K27+'6a.sz.mellékle (7)'!B27+'6a.sz.mellékle (7)'!E27+'6a.sz.mellékle (7)'!H27+'6a.sz.mellékle (7)'!K27+'6a.sz.mellékle (8)'!B27+'6a.sz.mellékle (8)'!E27+'6a.sz.mellékle (8)'!H27+'6a.sz.mellékle (8)'!K27+'6a.sz.mellékle (9)'!B27+'6a.sz.mellékle (9)'!E27+'6a.sz.mellékle (9)'!H27+'6a.sz.mellékle (9)'!K27+'6a.sz.mellékle (10)'!B27+'6a.sz.mellékle (10)'!E27</f>
        <v>10786</v>
      </c>
      <c r="L27" s="65">
        <f>SUM('6a.sz.melléklet (1)'!C27+'6a.sz.melléklet (1)'!F27+'6a.sz.melléklet (1)'!I27+'6a.sz.melléklet (1)'!L27)+'6a.sz.mellékle (2)'!C27+'6a.sz.mellékle (2)'!F27+'6a.sz.mellékle (2)'!I27+'6a.sz.mellékle (2)'!L27+'6a.sz.mellékle (3)'!C27+'6a.sz.mellékle (3)'!F27+'6a.sz.mellékle (3)'!I27+'6a.sz.mellékle (3)'!L27+'6a.sz.mellékle (4)'!C27+'6a.sz.mellékle (4)'!F27+'6a.sz.mellékle (4)'!I27+'6a.sz.mellékle (4)'!L27+'6a.sz.mellékle (5)'!C27+'6a.sz.mellékle (5)'!F27+'6a.sz.mellékle (5)'!I27+'6a.sz.mellékle (5)'!L27+'6a.sz.mellékle (6)'!C27+'6a.sz.mellékle (6)'!F27+'6a.sz.mellékle (6)'!I27+'6a.sz.mellékle (6)'!L27+'6a.sz.mellékle (7)'!C27+'6a.sz.mellékle (7)'!F27+'6a.sz.mellékle (7)'!I27+'6a.sz.mellékle (7)'!L27+'6a.sz.mellékle (8)'!C27+'6a.sz.mellékle (8)'!F27+'6a.sz.mellékle (8)'!I27+'6a.sz.mellékle (8)'!L27+'6a.sz.mellékle (9)'!C27+'6a.sz.mellékle (9)'!F27+'6a.sz.mellékle (9)'!I27+'6a.sz.mellékle (9)'!L27+'6a.sz.mellékle (10)'!C27+'6a.sz.mellékle (10)'!F27</f>
        <v>0</v>
      </c>
      <c r="M27" s="65">
        <f>SUM('6a.sz.melléklet (1)'!D27+'6a.sz.melléklet (1)'!G27+'6a.sz.melléklet (1)'!J27+'6a.sz.melléklet (1)'!M27)+'6a.sz.mellékle (2)'!D27+'6a.sz.mellékle (2)'!G27+'6a.sz.mellékle (2)'!J27+'6a.sz.mellékle (2)'!M27+'6a.sz.mellékle (3)'!D27+'6a.sz.mellékle (3)'!G27+'6a.sz.mellékle (3)'!J27+'6a.sz.mellékle (3)'!M27+'6a.sz.mellékle (4)'!D27+'6a.sz.mellékle (4)'!G27+'6a.sz.mellékle (4)'!J27+'6a.sz.mellékle (4)'!M27+'6a.sz.mellékle (5)'!D27+'6a.sz.mellékle (5)'!G27+'6a.sz.mellékle (5)'!J27+'6a.sz.mellékle (5)'!M27+'6a.sz.mellékle (6)'!D27+'6a.sz.mellékle (6)'!G27+'6a.sz.mellékle (6)'!J27+'6a.sz.mellékle (6)'!M27+'6a.sz.mellékle (7)'!D27+'6a.sz.mellékle (7)'!G27+'6a.sz.mellékle (7)'!J27+'6a.sz.mellékle (7)'!M27+'6a.sz.mellékle (8)'!D27+'6a.sz.mellékle (8)'!G27+'6a.sz.mellékle (8)'!J27+'6a.sz.mellékle (8)'!M27+'6a.sz.mellékle (9)'!D27+'6a.sz.mellékle (9)'!G27+'6a.sz.mellékle (9)'!J27+'6a.sz.mellékle (9)'!M27+'6a.sz.mellékle (10)'!D27+'6a.sz.mellékle (10)'!G27</f>
        <v>0</v>
      </c>
    </row>
    <row r="28" spans="1:13" ht="12.75">
      <c r="A28" s="353" t="s">
        <v>136</v>
      </c>
      <c r="B28" s="65">
        <v>5692</v>
      </c>
      <c r="C28" s="65"/>
      <c r="D28" s="65"/>
      <c r="E28" s="65">
        <v>1887</v>
      </c>
      <c r="F28" s="65"/>
      <c r="G28" s="65"/>
      <c r="H28" s="65"/>
      <c r="I28" s="65"/>
      <c r="J28" s="65"/>
      <c r="K28" s="65">
        <f>SUM('6a.sz.melléklet (1)'!B28+'6a.sz.melléklet (1)'!E28+'6a.sz.melléklet (1)'!H28+'6a.sz.melléklet (1)'!K28)+'6a.sz.mellékle (2)'!B28+'6a.sz.mellékle (2)'!E28+'6a.sz.mellékle (2)'!H28+'6a.sz.mellékle (2)'!K28+'6a.sz.mellékle (3)'!B28+'6a.sz.mellékle (3)'!E28+'6a.sz.mellékle (3)'!H28+'6a.sz.mellékle (3)'!K28+'6a.sz.mellékle (4)'!B28+'6a.sz.mellékle (4)'!E28+'6a.sz.mellékle (4)'!H28+'6a.sz.mellékle (4)'!K28+'6a.sz.mellékle (5)'!B28+'6a.sz.mellékle (5)'!E28+'6a.sz.mellékle (5)'!H28+'6a.sz.mellékle (5)'!K28+'6a.sz.mellékle (6)'!B28+'6a.sz.mellékle (6)'!E28+'6a.sz.mellékle (6)'!H28+'6a.sz.mellékle (6)'!K28+'6a.sz.mellékle (7)'!B28+'6a.sz.mellékle (7)'!E28+'6a.sz.mellékle (7)'!H28+'6a.sz.mellékle (7)'!K28+'6a.sz.mellékle (8)'!B28+'6a.sz.mellékle (8)'!E28+'6a.sz.mellékle (8)'!H28+'6a.sz.mellékle (8)'!K28+'6a.sz.mellékle (9)'!B28+'6a.sz.mellékle (9)'!E28+'6a.sz.mellékle (9)'!H28+'6a.sz.mellékle (9)'!K28+'6a.sz.mellékle (10)'!B28+'6a.sz.mellékle (10)'!E28</f>
        <v>46237</v>
      </c>
      <c r="L28" s="65">
        <f>SUM('6a.sz.melléklet (1)'!C28+'6a.sz.melléklet (1)'!F28+'6a.sz.melléklet (1)'!I28+'6a.sz.melléklet (1)'!L28)+'6a.sz.mellékle (2)'!C28+'6a.sz.mellékle (2)'!F28+'6a.sz.mellékle (2)'!I28+'6a.sz.mellékle (2)'!L28+'6a.sz.mellékle (3)'!C28+'6a.sz.mellékle (3)'!F28+'6a.sz.mellékle (3)'!I28+'6a.sz.mellékle (3)'!L28+'6a.sz.mellékle (4)'!C28+'6a.sz.mellékle (4)'!F28+'6a.sz.mellékle (4)'!I28+'6a.sz.mellékle (4)'!L28+'6a.sz.mellékle (5)'!C28+'6a.sz.mellékle (5)'!F28+'6a.sz.mellékle (5)'!I28+'6a.sz.mellékle (5)'!L28+'6a.sz.mellékle (6)'!C28+'6a.sz.mellékle (6)'!F28+'6a.sz.mellékle (6)'!I28+'6a.sz.mellékle (6)'!L28+'6a.sz.mellékle (7)'!C28+'6a.sz.mellékle (7)'!F28+'6a.sz.mellékle (7)'!I28+'6a.sz.mellékle (7)'!L28+'6a.sz.mellékle (8)'!C28+'6a.sz.mellékle (8)'!F28+'6a.sz.mellékle (8)'!I28+'6a.sz.mellékle (8)'!L28+'6a.sz.mellékle (9)'!C28+'6a.sz.mellékle (9)'!F28+'6a.sz.mellékle (9)'!I28+'6a.sz.mellékle (9)'!L28+'6a.sz.mellékle (10)'!C28+'6a.sz.mellékle (10)'!F28</f>
        <v>0</v>
      </c>
      <c r="M28" s="65">
        <f>SUM('6a.sz.melléklet (1)'!D28+'6a.sz.melléklet (1)'!G28+'6a.sz.melléklet (1)'!J28+'6a.sz.melléklet (1)'!M28)+'6a.sz.mellékle (2)'!D28+'6a.sz.mellékle (2)'!G28+'6a.sz.mellékle (2)'!J28+'6a.sz.mellékle (2)'!M28+'6a.sz.mellékle (3)'!D28+'6a.sz.mellékle (3)'!G28+'6a.sz.mellékle (3)'!J28+'6a.sz.mellékle (3)'!M28+'6a.sz.mellékle (4)'!D28+'6a.sz.mellékle (4)'!G28+'6a.sz.mellékle (4)'!J28+'6a.sz.mellékle (4)'!M28+'6a.sz.mellékle (5)'!D28+'6a.sz.mellékle (5)'!G28+'6a.sz.mellékle (5)'!J28+'6a.sz.mellékle (5)'!M28+'6a.sz.mellékle (6)'!D28+'6a.sz.mellékle (6)'!G28+'6a.sz.mellékle (6)'!J28+'6a.sz.mellékle (6)'!M28+'6a.sz.mellékle (7)'!D28+'6a.sz.mellékle (7)'!G28+'6a.sz.mellékle (7)'!J28+'6a.sz.mellékle (7)'!M28+'6a.sz.mellékle (8)'!D28+'6a.sz.mellékle (8)'!G28+'6a.sz.mellékle (8)'!J28+'6a.sz.mellékle (8)'!M28+'6a.sz.mellékle (9)'!D28+'6a.sz.mellékle (9)'!G28+'6a.sz.mellékle (9)'!J28+'6a.sz.mellékle (9)'!M28+'6a.sz.mellékle (10)'!D28+'6a.sz.mellékle (10)'!G28</f>
        <v>0</v>
      </c>
    </row>
    <row r="29" spans="1:13" ht="12.75">
      <c r="A29" s="353" t="s">
        <v>137</v>
      </c>
      <c r="B29" s="65"/>
      <c r="C29" s="65"/>
      <c r="D29" s="65"/>
      <c r="E29" s="65">
        <v>52</v>
      </c>
      <c r="F29" s="65"/>
      <c r="G29" s="65"/>
      <c r="H29" s="65"/>
      <c r="I29" s="65"/>
      <c r="J29" s="65"/>
      <c r="K29" s="65">
        <f>SUM('6a.sz.melléklet (1)'!B29+'6a.sz.melléklet (1)'!E29+'6a.sz.melléklet (1)'!H29+'6a.sz.melléklet (1)'!K29)+'6a.sz.mellékle (2)'!B29+'6a.sz.mellékle (2)'!E29+'6a.sz.mellékle (2)'!H29+'6a.sz.mellékle (2)'!K29+'6a.sz.mellékle (3)'!B29+'6a.sz.mellékle (3)'!E29+'6a.sz.mellékle (3)'!H29+'6a.sz.mellékle (3)'!K29+'6a.sz.mellékle (4)'!B29+'6a.sz.mellékle (4)'!E29+'6a.sz.mellékle (4)'!H29+'6a.sz.mellékle (4)'!K29+'6a.sz.mellékle (5)'!B29+'6a.sz.mellékle (5)'!E29+'6a.sz.mellékle (5)'!H29+'6a.sz.mellékle (5)'!K29+'6a.sz.mellékle (6)'!B29+'6a.sz.mellékle (6)'!E29+'6a.sz.mellékle (6)'!H29+'6a.sz.mellékle (6)'!K29+'6a.sz.mellékle (7)'!B29+'6a.sz.mellékle (7)'!E29+'6a.sz.mellékle (7)'!H29+'6a.sz.mellékle (7)'!K29+'6a.sz.mellékle (8)'!B29+'6a.sz.mellékle (8)'!E29+'6a.sz.mellékle (8)'!H29+'6a.sz.mellékle (8)'!K29+'6a.sz.mellékle (9)'!B29+'6a.sz.mellékle (9)'!E29+'6a.sz.mellékle (9)'!H29+'6a.sz.mellékle (9)'!K29+'6a.sz.mellékle (10)'!B29+'6a.sz.mellékle (10)'!E29</f>
        <v>52</v>
      </c>
      <c r="L29" s="65">
        <f>SUM('6a.sz.melléklet (1)'!C29+'6a.sz.melléklet (1)'!F29+'6a.sz.melléklet (1)'!I29+'6a.sz.melléklet (1)'!L29)+'6a.sz.mellékle (2)'!C29+'6a.sz.mellékle (2)'!F29+'6a.sz.mellékle (2)'!I29+'6a.sz.mellékle (2)'!L29+'6a.sz.mellékle (3)'!C29+'6a.sz.mellékle (3)'!F29+'6a.sz.mellékle (3)'!I29+'6a.sz.mellékle (3)'!L29+'6a.sz.mellékle (4)'!C29+'6a.sz.mellékle (4)'!F29+'6a.sz.mellékle (4)'!I29+'6a.sz.mellékle (4)'!L29+'6a.sz.mellékle (5)'!C29+'6a.sz.mellékle (5)'!F29+'6a.sz.mellékle (5)'!I29+'6a.sz.mellékle (5)'!L29+'6a.sz.mellékle (6)'!C29+'6a.sz.mellékle (6)'!F29+'6a.sz.mellékle (6)'!I29+'6a.sz.mellékle (6)'!L29+'6a.sz.mellékle (7)'!C29+'6a.sz.mellékle (7)'!F29+'6a.sz.mellékle (7)'!I29+'6a.sz.mellékle (7)'!L29+'6a.sz.mellékle (8)'!C29+'6a.sz.mellékle (8)'!F29+'6a.sz.mellékle (8)'!I29+'6a.sz.mellékle (8)'!L29+'6a.sz.mellékle (9)'!C29+'6a.sz.mellékle (9)'!F29+'6a.sz.mellékle (9)'!I29+'6a.sz.mellékle (9)'!L29+'6a.sz.mellékle (10)'!C29+'6a.sz.mellékle (10)'!F29</f>
        <v>0</v>
      </c>
      <c r="M29" s="65">
        <f>SUM('6a.sz.melléklet (1)'!D29+'6a.sz.melléklet (1)'!G29+'6a.sz.melléklet (1)'!J29+'6a.sz.melléklet (1)'!M29)+'6a.sz.mellékle (2)'!D29+'6a.sz.mellékle (2)'!G29+'6a.sz.mellékle (2)'!J29+'6a.sz.mellékle (2)'!M29+'6a.sz.mellékle (3)'!D29+'6a.sz.mellékle (3)'!G29+'6a.sz.mellékle (3)'!J29+'6a.sz.mellékle (3)'!M29+'6a.sz.mellékle (4)'!D29+'6a.sz.mellékle (4)'!G29+'6a.sz.mellékle (4)'!J29+'6a.sz.mellékle (4)'!M29+'6a.sz.mellékle (5)'!D29+'6a.sz.mellékle (5)'!G29+'6a.sz.mellékle (5)'!J29+'6a.sz.mellékle (5)'!M29+'6a.sz.mellékle (6)'!D29+'6a.sz.mellékle (6)'!G29+'6a.sz.mellékle (6)'!J29+'6a.sz.mellékle (6)'!M29+'6a.sz.mellékle (7)'!D29+'6a.sz.mellékle (7)'!G29+'6a.sz.mellékle (7)'!J29+'6a.sz.mellékle (7)'!M29+'6a.sz.mellékle (8)'!D29+'6a.sz.mellékle (8)'!G29+'6a.sz.mellékle (8)'!J29+'6a.sz.mellékle (8)'!M29+'6a.sz.mellékle (9)'!D29+'6a.sz.mellékle (9)'!G29+'6a.sz.mellékle (9)'!J29+'6a.sz.mellékle (9)'!M29+'6a.sz.mellékle (10)'!D29+'6a.sz.mellékle (10)'!G29</f>
        <v>0</v>
      </c>
    </row>
    <row r="30" spans="1:13" ht="19.5" customHeight="1">
      <c r="A30" s="1308" t="s">
        <v>794</v>
      </c>
      <c r="B30" s="65"/>
      <c r="C30" s="65"/>
      <c r="D30" s="65"/>
      <c r="E30" s="65"/>
      <c r="F30" s="65"/>
      <c r="G30" s="65"/>
      <c r="H30" s="65"/>
      <c r="I30" s="65"/>
      <c r="J30" s="65"/>
      <c r="K30" s="65">
        <f>SUM('6a.sz.melléklet (1)'!B30+'6a.sz.melléklet (1)'!E30+'6a.sz.melléklet (1)'!H30+'6a.sz.melléklet (1)'!K30)+'6a.sz.mellékle (2)'!B30+'6a.sz.mellékle (2)'!E30+'6a.sz.mellékle (2)'!H30+'6a.sz.mellékle (2)'!K30+'6a.sz.mellékle (3)'!B30+'6a.sz.mellékle (3)'!E30+'6a.sz.mellékle (3)'!H30+'6a.sz.mellékle (3)'!K30+'6a.sz.mellékle (4)'!B30+'6a.sz.mellékle (4)'!E30+'6a.sz.mellékle (4)'!H30+'6a.sz.mellékle (4)'!K30+'6a.sz.mellékle (5)'!B30+'6a.sz.mellékle (5)'!E30+'6a.sz.mellékle (5)'!H30+'6a.sz.mellékle (5)'!K30+'6a.sz.mellékle (6)'!B30+'6a.sz.mellékle (6)'!E30+'6a.sz.mellékle (6)'!H30+'6a.sz.mellékle (6)'!K30+'6a.sz.mellékle (7)'!B30+'6a.sz.mellékle (7)'!E30+'6a.sz.mellékle (7)'!H30+'6a.sz.mellékle (7)'!K30+'6a.sz.mellékle (8)'!B30+'6a.sz.mellékle (8)'!E30+'6a.sz.mellékle (8)'!H30+'6a.sz.mellékle (8)'!K30+'6a.sz.mellékle (9)'!B30+'6a.sz.mellékle (9)'!E30+'6a.sz.mellékle (9)'!H30+'6a.sz.mellékle (9)'!K30+'6a.sz.mellékle (10)'!B30+'6a.sz.mellékle (10)'!E30</f>
        <v>0</v>
      </c>
      <c r="L30" s="65">
        <f>SUM('6a.sz.melléklet (1)'!C30+'6a.sz.melléklet (1)'!F30+'6a.sz.melléklet (1)'!I30+'6a.sz.melléklet (1)'!L30)+'6a.sz.mellékle (2)'!C30+'6a.sz.mellékle (2)'!F30+'6a.sz.mellékle (2)'!I30+'6a.sz.mellékle (2)'!L30+'6a.sz.mellékle (3)'!C30+'6a.sz.mellékle (3)'!F30+'6a.sz.mellékle (3)'!I30+'6a.sz.mellékle (3)'!L30+'6a.sz.mellékle (4)'!C30+'6a.sz.mellékle (4)'!F30+'6a.sz.mellékle (4)'!I30+'6a.sz.mellékle (4)'!L30+'6a.sz.mellékle (5)'!C30+'6a.sz.mellékle (5)'!F30+'6a.sz.mellékle (5)'!I30+'6a.sz.mellékle (5)'!L30+'6a.sz.mellékle (6)'!C30+'6a.sz.mellékle (6)'!F30+'6a.sz.mellékle (6)'!I30+'6a.sz.mellékle (6)'!L30+'6a.sz.mellékle (7)'!C30+'6a.sz.mellékle (7)'!F30+'6a.sz.mellékle (7)'!I30+'6a.sz.mellékle (7)'!L30+'6a.sz.mellékle (8)'!C30+'6a.sz.mellékle (8)'!F30+'6a.sz.mellékle (8)'!I30+'6a.sz.mellékle (8)'!L30+'6a.sz.mellékle (9)'!C30+'6a.sz.mellékle (9)'!F30+'6a.sz.mellékle (9)'!I30+'6a.sz.mellékle (9)'!L30+'6a.sz.mellékle (10)'!C30+'6a.sz.mellékle (10)'!F30</f>
        <v>0</v>
      </c>
      <c r="M30" s="65">
        <f>SUM('6a.sz.melléklet (1)'!D30+'6a.sz.melléklet (1)'!G30+'6a.sz.melléklet (1)'!J30+'6a.sz.melléklet (1)'!M30)+'6a.sz.mellékle (2)'!D30+'6a.sz.mellékle (2)'!G30+'6a.sz.mellékle (2)'!J30+'6a.sz.mellékle (2)'!M30+'6a.sz.mellékle (3)'!D30+'6a.sz.mellékle (3)'!G30+'6a.sz.mellékle (3)'!J30+'6a.sz.mellékle (3)'!M30+'6a.sz.mellékle (4)'!D30+'6a.sz.mellékle (4)'!G30+'6a.sz.mellékle (4)'!J30+'6a.sz.mellékle (4)'!M30+'6a.sz.mellékle (5)'!D30+'6a.sz.mellékle (5)'!G30+'6a.sz.mellékle (5)'!J30+'6a.sz.mellékle (5)'!M30+'6a.sz.mellékle (6)'!D30+'6a.sz.mellékle (6)'!G30+'6a.sz.mellékle (6)'!J30+'6a.sz.mellékle (6)'!M30+'6a.sz.mellékle (7)'!D30+'6a.sz.mellékle (7)'!G30+'6a.sz.mellékle (7)'!J30+'6a.sz.mellékle (7)'!M30+'6a.sz.mellékle (8)'!D30+'6a.sz.mellékle (8)'!G30+'6a.sz.mellékle (8)'!J30+'6a.sz.mellékle (8)'!M30+'6a.sz.mellékle (9)'!D30+'6a.sz.mellékle (9)'!G30+'6a.sz.mellékle (9)'!J30+'6a.sz.mellékle (9)'!M30+'6a.sz.mellékle (10)'!D30+'6a.sz.mellékle (10)'!G30</f>
        <v>0</v>
      </c>
    </row>
    <row r="31" spans="1:13" ht="22.5">
      <c r="A31" s="1304" t="s">
        <v>795</v>
      </c>
      <c r="B31" s="65"/>
      <c r="C31" s="65"/>
      <c r="D31" s="65"/>
      <c r="E31" s="65"/>
      <c r="F31" s="65"/>
      <c r="G31" s="65"/>
      <c r="H31" s="65"/>
      <c r="I31" s="65"/>
      <c r="J31" s="65"/>
      <c r="K31" s="65">
        <f>SUM('6a.sz.melléklet (1)'!B31+'6a.sz.melléklet (1)'!E31+'6a.sz.melléklet (1)'!H31+'6a.sz.melléklet (1)'!K31)+'6a.sz.mellékle (2)'!B31+'6a.sz.mellékle (2)'!E31+'6a.sz.mellékle (2)'!H31+'6a.sz.mellékle (2)'!K31+'6a.sz.mellékle (3)'!B31+'6a.sz.mellékle (3)'!E31+'6a.sz.mellékle (3)'!H31+'6a.sz.mellékle (3)'!K31+'6a.sz.mellékle (4)'!B31+'6a.sz.mellékle (4)'!E31+'6a.sz.mellékle (4)'!H31+'6a.sz.mellékle (4)'!K31+'6a.sz.mellékle (5)'!B31+'6a.sz.mellékle (5)'!E31+'6a.sz.mellékle (5)'!H31+'6a.sz.mellékle (5)'!K31+'6a.sz.mellékle (6)'!B31+'6a.sz.mellékle (6)'!E31+'6a.sz.mellékle (6)'!H31+'6a.sz.mellékle (6)'!K31+'6a.sz.mellékle (7)'!B31+'6a.sz.mellékle (7)'!E31+'6a.sz.mellékle (7)'!H31+'6a.sz.mellékle (7)'!K31+'6a.sz.mellékle (8)'!B31+'6a.sz.mellékle (8)'!E31+'6a.sz.mellékle (8)'!H31+'6a.sz.mellékle (8)'!K31+'6a.sz.mellékle (9)'!B31+'6a.sz.mellékle (9)'!E31+'6a.sz.mellékle (9)'!H31+'6a.sz.mellékle (9)'!K31+'6a.sz.mellékle (10)'!B31+'6a.sz.mellékle (10)'!E31</f>
        <v>0</v>
      </c>
      <c r="L31" s="65">
        <f>SUM('6a.sz.melléklet (1)'!C31+'6a.sz.melléklet (1)'!F31+'6a.sz.melléklet (1)'!I31+'6a.sz.melléklet (1)'!L31)+'6a.sz.mellékle (2)'!C31+'6a.sz.mellékle (2)'!F31+'6a.sz.mellékle (2)'!I31+'6a.sz.mellékle (2)'!L31+'6a.sz.mellékle (3)'!C31+'6a.sz.mellékle (3)'!F31+'6a.sz.mellékle (3)'!I31+'6a.sz.mellékle (3)'!L31+'6a.sz.mellékle (4)'!C31+'6a.sz.mellékle (4)'!F31+'6a.sz.mellékle (4)'!I31+'6a.sz.mellékle (4)'!L31+'6a.sz.mellékle (5)'!C31+'6a.sz.mellékle (5)'!F31+'6a.sz.mellékle (5)'!I31+'6a.sz.mellékle (5)'!L31+'6a.sz.mellékle (6)'!C31+'6a.sz.mellékle (6)'!F31+'6a.sz.mellékle (6)'!I31+'6a.sz.mellékle (6)'!L31+'6a.sz.mellékle (7)'!C31+'6a.sz.mellékle (7)'!F31+'6a.sz.mellékle (7)'!I31+'6a.sz.mellékle (7)'!L31+'6a.sz.mellékle (8)'!C31+'6a.sz.mellékle (8)'!F31+'6a.sz.mellékle (8)'!I31+'6a.sz.mellékle (8)'!L31+'6a.sz.mellékle (9)'!C31+'6a.sz.mellékle (9)'!F31+'6a.sz.mellékle (9)'!I31+'6a.sz.mellékle (9)'!L31+'6a.sz.mellékle (10)'!C31+'6a.sz.mellékle (10)'!F31</f>
        <v>0</v>
      </c>
      <c r="M31" s="65">
        <f>SUM('6a.sz.melléklet (1)'!D31+'6a.sz.melléklet (1)'!G31+'6a.sz.melléklet (1)'!J31+'6a.sz.melléklet (1)'!M31)+'6a.sz.mellékle (2)'!D31+'6a.sz.mellékle (2)'!G31+'6a.sz.mellékle (2)'!J31+'6a.sz.mellékle (2)'!M31+'6a.sz.mellékle (3)'!D31+'6a.sz.mellékle (3)'!G31+'6a.sz.mellékle (3)'!J31+'6a.sz.mellékle (3)'!M31+'6a.sz.mellékle (4)'!D31+'6a.sz.mellékle (4)'!G31+'6a.sz.mellékle (4)'!J31+'6a.sz.mellékle (4)'!M31+'6a.sz.mellékle (5)'!D31+'6a.sz.mellékle (5)'!G31+'6a.sz.mellékle (5)'!J31+'6a.sz.mellékle (5)'!M31+'6a.sz.mellékle (6)'!D31+'6a.sz.mellékle (6)'!G31+'6a.sz.mellékle (6)'!J31+'6a.sz.mellékle (6)'!M31+'6a.sz.mellékle (7)'!D31+'6a.sz.mellékle (7)'!G31+'6a.sz.mellékle (7)'!J31+'6a.sz.mellékle (7)'!M31+'6a.sz.mellékle (8)'!D31+'6a.sz.mellékle (8)'!G31+'6a.sz.mellékle (8)'!J31+'6a.sz.mellékle (8)'!M31+'6a.sz.mellékle (9)'!D31+'6a.sz.mellékle (9)'!G31+'6a.sz.mellékle (9)'!J31+'6a.sz.mellékle (9)'!M31+'6a.sz.mellékle (10)'!D31+'6a.sz.mellékle (10)'!G31</f>
        <v>0</v>
      </c>
    </row>
    <row r="32" spans="1:13" ht="12.75">
      <c r="A32" s="353" t="s">
        <v>796</v>
      </c>
      <c r="B32" s="65"/>
      <c r="C32" s="65"/>
      <c r="D32" s="65"/>
      <c r="E32" s="65"/>
      <c r="F32" s="65"/>
      <c r="G32" s="65"/>
      <c r="H32" s="65"/>
      <c r="I32" s="65"/>
      <c r="J32" s="65"/>
      <c r="K32" s="65">
        <f>SUM('6a.sz.melléklet (1)'!B32+'6a.sz.melléklet (1)'!E32+'6a.sz.melléklet (1)'!H32+'6a.sz.melléklet (1)'!K32)+'6a.sz.mellékle (2)'!B32+'6a.sz.mellékle (2)'!E32+'6a.sz.mellékle (2)'!H32+'6a.sz.mellékle (2)'!K32+'6a.sz.mellékle (3)'!B32+'6a.sz.mellékle (3)'!E32+'6a.sz.mellékle (3)'!H32+'6a.sz.mellékle (3)'!K32+'6a.sz.mellékle (4)'!B32+'6a.sz.mellékle (4)'!E32+'6a.sz.mellékle (4)'!H32+'6a.sz.mellékle (4)'!K32+'6a.sz.mellékle (5)'!B32+'6a.sz.mellékle (5)'!E32+'6a.sz.mellékle (5)'!H32+'6a.sz.mellékle (5)'!K32+'6a.sz.mellékle (6)'!B32+'6a.sz.mellékle (6)'!E32+'6a.sz.mellékle (6)'!H32+'6a.sz.mellékle (6)'!K32+'6a.sz.mellékle (7)'!B32+'6a.sz.mellékle (7)'!E32+'6a.sz.mellékle (7)'!H32+'6a.sz.mellékle (7)'!K32+'6a.sz.mellékle (8)'!B32+'6a.sz.mellékle (8)'!E32+'6a.sz.mellékle (8)'!H32+'6a.sz.mellékle (8)'!K32+'6a.sz.mellékle (9)'!B32+'6a.sz.mellékle (9)'!E32+'6a.sz.mellékle (9)'!H32+'6a.sz.mellékle (9)'!K32+'6a.sz.mellékle (10)'!B32+'6a.sz.mellékle (10)'!E32</f>
        <v>0</v>
      </c>
      <c r="L32" s="65">
        <f>SUM('6a.sz.melléklet (1)'!C32+'6a.sz.melléklet (1)'!F32+'6a.sz.melléklet (1)'!I32+'6a.sz.melléklet (1)'!L32)+'6a.sz.mellékle (2)'!C32+'6a.sz.mellékle (2)'!F32+'6a.sz.mellékle (2)'!I32+'6a.sz.mellékle (2)'!L32+'6a.sz.mellékle (3)'!C32+'6a.sz.mellékle (3)'!F32+'6a.sz.mellékle (3)'!I32+'6a.sz.mellékle (3)'!L32+'6a.sz.mellékle (4)'!C32+'6a.sz.mellékle (4)'!F32+'6a.sz.mellékle (4)'!I32+'6a.sz.mellékle (4)'!L32+'6a.sz.mellékle (5)'!C32+'6a.sz.mellékle (5)'!F32+'6a.sz.mellékle (5)'!I32+'6a.sz.mellékle (5)'!L32+'6a.sz.mellékle (6)'!C32+'6a.sz.mellékle (6)'!F32+'6a.sz.mellékle (6)'!I32+'6a.sz.mellékle (6)'!L32+'6a.sz.mellékle (7)'!C32+'6a.sz.mellékle (7)'!F32+'6a.sz.mellékle (7)'!I32+'6a.sz.mellékle (7)'!L32+'6a.sz.mellékle (8)'!C32+'6a.sz.mellékle (8)'!F32+'6a.sz.mellékle (8)'!I32+'6a.sz.mellékle (8)'!L32+'6a.sz.mellékle (9)'!C32+'6a.sz.mellékle (9)'!F32+'6a.sz.mellékle (9)'!I32+'6a.sz.mellékle (9)'!L32+'6a.sz.mellékle (10)'!C32+'6a.sz.mellékle (10)'!F32</f>
        <v>0</v>
      </c>
      <c r="M32" s="65">
        <f>SUM('6a.sz.melléklet (1)'!D32+'6a.sz.melléklet (1)'!G32+'6a.sz.melléklet (1)'!J32+'6a.sz.melléklet (1)'!M32)+'6a.sz.mellékle (2)'!D32+'6a.sz.mellékle (2)'!G32+'6a.sz.mellékle (2)'!J32+'6a.sz.mellékle (2)'!M32+'6a.sz.mellékle (3)'!D32+'6a.sz.mellékle (3)'!G32+'6a.sz.mellékle (3)'!J32+'6a.sz.mellékle (3)'!M32+'6a.sz.mellékle (4)'!D32+'6a.sz.mellékle (4)'!G32+'6a.sz.mellékle (4)'!J32+'6a.sz.mellékle (4)'!M32+'6a.sz.mellékle (5)'!D32+'6a.sz.mellékle (5)'!G32+'6a.sz.mellékle (5)'!J32+'6a.sz.mellékle (5)'!M32+'6a.sz.mellékle (6)'!D32+'6a.sz.mellékle (6)'!G32+'6a.sz.mellékle (6)'!J32+'6a.sz.mellékle (6)'!M32+'6a.sz.mellékle (7)'!D32+'6a.sz.mellékle (7)'!G32+'6a.sz.mellékle (7)'!J32+'6a.sz.mellékle (7)'!M32+'6a.sz.mellékle (8)'!D32+'6a.sz.mellékle (8)'!G32+'6a.sz.mellékle (8)'!J32+'6a.sz.mellékle (8)'!M32+'6a.sz.mellékle (9)'!D32+'6a.sz.mellékle (9)'!G32+'6a.sz.mellékle (9)'!J32+'6a.sz.mellékle (9)'!M32+'6a.sz.mellékle (10)'!D32+'6a.sz.mellékle (10)'!G32</f>
        <v>0</v>
      </c>
    </row>
    <row r="33" spans="1:13" ht="12.75">
      <c r="A33" s="353" t="s">
        <v>797</v>
      </c>
      <c r="B33" s="65"/>
      <c r="C33" s="65"/>
      <c r="D33" s="65"/>
      <c r="E33" s="65"/>
      <c r="F33" s="65"/>
      <c r="G33" s="65"/>
      <c r="H33" s="65"/>
      <c r="I33" s="65"/>
      <c r="J33" s="65"/>
      <c r="K33" s="65">
        <f>SUM('6a.sz.melléklet (1)'!B33+'6a.sz.melléklet (1)'!E33+'6a.sz.melléklet (1)'!H33+'6a.sz.melléklet (1)'!K33)+'6a.sz.mellékle (2)'!B33+'6a.sz.mellékle (2)'!E33+'6a.sz.mellékle (2)'!H33+'6a.sz.mellékle (2)'!K33+'6a.sz.mellékle (3)'!B33+'6a.sz.mellékle (3)'!E33+'6a.sz.mellékle (3)'!H33+'6a.sz.mellékle (3)'!K33+'6a.sz.mellékle (4)'!B33+'6a.sz.mellékle (4)'!E33+'6a.sz.mellékle (4)'!H33+'6a.sz.mellékle (4)'!K33+'6a.sz.mellékle (5)'!B33+'6a.sz.mellékle (5)'!E33+'6a.sz.mellékle (5)'!H33+'6a.sz.mellékle (5)'!K33+'6a.sz.mellékle (6)'!B33+'6a.sz.mellékle (6)'!E33+'6a.sz.mellékle (6)'!H33+'6a.sz.mellékle (6)'!K33+'6a.sz.mellékle (7)'!B33+'6a.sz.mellékle (7)'!E33+'6a.sz.mellékle (7)'!H33+'6a.sz.mellékle (7)'!K33+'6a.sz.mellékle (8)'!B33+'6a.sz.mellékle (8)'!E33+'6a.sz.mellékle (8)'!H33+'6a.sz.mellékle (8)'!K33+'6a.sz.mellékle (9)'!B33+'6a.sz.mellékle (9)'!E33+'6a.sz.mellékle (9)'!H33+'6a.sz.mellékle (9)'!K33+'6a.sz.mellékle (10)'!B33+'6a.sz.mellékle (10)'!E33</f>
        <v>0</v>
      </c>
      <c r="L33" s="65">
        <f>SUM('6a.sz.melléklet (1)'!C33+'6a.sz.melléklet (1)'!F33+'6a.sz.melléklet (1)'!I33+'6a.sz.melléklet (1)'!L33)+'6a.sz.mellékle (2)'!C33+'6a.sz.mellékle (2)'!F33+'6a.sz.mellékle (2)'!I33+'6a.sz.mellékle (2)'!L33+'6a.sz.mellékle (3)'!C33+'6a.sz.mellékle (3)'!F33+'6a.sz.mellékle (3)'!I33+'6a.sz.mellékle (3)'!L33+'6a.sz.mellékle (4)'!C33+'6a.sz.mellékle (4)'!F33+'6a.sz.mellékle (4)'!I33+'6a.sz.mellékle (4)'!L33+'6a.sz.mellékle (5)'!C33+'6a.sz.mellékle (5)'!F33+'6a.sz.mellékle (5)'!I33+'6a.sz.mellékle (5)'!L33+'6a.sz.mellékle (6)'!C33+'6a.sz.mellékle (6)'!F33+'6a.sz.mellékle (6)'!I33+'6a.sz.mellékle (6)'!L33+'6a.sz.mellékle (7)'!C33+'6a.sz.mellékle (7)'!F33+'6a.sz.mellékle (7)'!I33+'6a.sz.mellékle (7)'!L33+'6a.sz.mellékle (8)'!C33+'6a.sz.mellékle (8)'!F33+'6a.sz.mellékle (8)'!I33+'6a.sz.mellékle (8)'!L33+'6a.sz.mellékle (9)'!C33+'6a.sz.mellékle (9)'!F33+'6a.sz.mellékle (9)'!I33+'6a.sz.mellékle (9)'!L33+'6a.sz.mellékle (10)'!C33+'6a.sz.mellékle (10)'!F33</f>
        <v>0</v>
      </c>
      <c r="M33" s="65">
        <f>SUM('6a.sz.melléklet (1)'!D33+'6a.sz.melléklet (1)'!G33+'6a.sz.melléklet (1)'!J33+'6a.sz.melléklet (1)'!M33)+'6a.sz.mellékle (2)'!D33+'6a.sz.mellékle (2)'!G33+'6a.sz.mellékle (2)'!J33+'6a.sz.mellékle (2)'!M33+'6a.sz.mellékle (3)'!D33+'6a.sz.mellékle (3)'!G33+'6a.sz.mellékle (3)'!J33+'6a.sz.mellékle (3)'!M33+'6a.sz.mellékle (4)'!D33+'6a.sz.mellékle (4)'!G33+'6a.sz.mellékle (4)'!J33+'6a.sz.mellékle (4)'!M33+'6a.sz.mellékle (5)'!D33+'6a.sz.mellékle (5)'!G33+'6a.sz.mellékle (5)'!J33+'6a.sz.mellékle (5)'!M33+'6a.sz.mellékle (6)'!D33+'6a.sz.mellékle (6)'!G33+'6a.sz.mellékle (6)'!J33+'6a.sz.mellékle (6)'!M33+'6a.sz.mellékle (7)'!D33+'6a.sz.mellékle (7)'!G33+'6a.sz.mellékle (7)'!J33+'6a.sz.mellékle (7)'!M33+'6a.sz.mellékle (8)'!D33+'6a.sz.mellékle (8)'!G33+'6a.sz.mellékle (8)'!J33+'6a.sz.mellékle (8)'!M33+'6a.sz.mellékle (9)'!D33+'6a.sz.mellékle (9)'!G33+'6a.sz.mellékle (9)'!J33+'6a.sz.mellékle (9)'!M33+'6a.sz.mellékle (10)'!D33+'6a.sz.mellékle (10)'!G33</f>
        <v>0</v>
      </c>
    </row>
    <row r="34" spans="1:13" ht="12.75">
      <c r="A34" s="353" t="s">
        <v>798</v>
      </c>
      <c r="B34" s="65">
        <f aca="true" t="shared" si="3" ref="B34:M34">+B23-B25-B26-B27-B28-B30-B31-B32-B33-B29</f>
        <v>310998</v>
      </c>
      <c r="C34" s="65">
        <f t="shared" si="3"/>
        <v>0</v>
      </c>
      <c r="D34" s="65">
        <f t="shared" si="3"/>
        <v>0</v>
      </c>
      <c r="E34" s="65">
        <f t="shared" si="3"/>
        <v>299611</v>
      </c>
      <c r="F34" s="65">
        <f t="shared" si="3"/>
        <v>0</v>
      </c>
      <c r="G34" s="65">
        <f t="shared" si="3"/>
        <v>0</v>
      </c>
      <c r="H34" s="65">
        <f t="shared" si="3"/>
        <v>0</v>
      </c>
      <c r="I34" s="65">
        <f t="shared" si="3"/>
        <v>0</v>
      </c>
      <c r="J34" s="65">
        <f t="shared" si="3"/>
        <v>0</v>
      </c>
      <c r="K34" s="65">
        <f t="shared" si="3"/>
        <v>5377862</v>
      </c>
      <c r="L34" s="65">
        <f t="shared" si="3"/>
        <v>0</v>
      </c>
      <c r="M34" s="65">
        <f t="shared" si="3"/>
        <v>0</v>
      </c>
    </row>
    <row r="35" spans="1:13" ht="12.75">
      <c r="A35" s="1300" t="s">
        <v>197</v>
      </c>
      <c r="B35" s="65">
        <v>114032</v>
      </c>
      <c r="C35" s="65"/>
      <c r="D35" s="65"/>
      <c r="E35" s="65">
        <v>10587</v>
      </c>
      <c r="F35" s="65"/>
      <c r="G35" s="65"/>
      <c r="H35" s="65"/>
      <c r="I35" s="65"/>
      <c r="J35" s="65"/>
      <c r="K35" s="65">
        <f>SUM('6a.sz.melléklet (1)'!B35+'6a.sz.melléklet (1)'!E35+'6a.sz.melléklet (1)'!H35+'6a.sz.melléklet (1)'!K35)+'6a.sz.mellékle (2)'!B35+'6a.sz.mellékle (2)'!E35+'6a.sz.mellékle (2)'!H35+'6a.sz.mellékle (2)'!K35+'6a.sz.mellékle (3)'!B35+'6a.sz.mellékle (3)'!E35+'6a.sz.mellékle (3)'!H35+'6a.sz.mellékle (3)'!K35+'6a.sz.mellékle (4)'!B35+'6a.sz.mellékle (4)'!E35+'6a.sz.mellékle (4)'!H35+'6a.sz.mellékle (4)'!K35+'6a.sz.mellékle (5)'!B35+'6a.sz.mellékle (5)'!E35+'6a.sz.mellékle (5)'!H35+'6a.sz.mellékle (5)'!K35+'6a.sz.mellékle (6)'!B35+'6a.sz.mellékle (6)'!E35+'6a.sz.mellékle (6)'!H35+'6a.sz.mellékle (6)'!K35+'6a.sz.mellékle (7)'!B35+'6a.sz.mellékle (7)'!E35+'6a.sz.mellékle (7)'!H35+'6a.sz.mellékle (7)'!K35+'6a.sz.mellékle (8)'!B35+'6a.sz.mellékle (8)'!E35+'6a.sz.mellékle (8)'!H35+'6a.sz.mellékle (8)'!K35+'6a.sz.mellékle (9)'!B35+'6a.sz.mellékle (9)'!E35+'6a.sz.mellékle (9)'!H35+'6a.sz.mellékle (9)'!K35+'6a.sz.mellékle (10)'!B35+'6a.sz.mellékle (10)'!E35</f>
        <v>2022272</v>
      </c>
      <c r="L35" s="65">
        <f>SUM('6a.sz.melléklet (1)'!C35+'6a.sz.melléklet (1)'!F35+'6a.sz.melléklet (1)'!I35+'6a.sz.melléklet (1)'!L35)+'6a.sz.mellékle (2)'!C35+'6a.sz.mellékle (2)'!F35+'6a.sz.mellékle (2)'!I35+'6a.sz.mellékle (2)'!L35+'6a.sz.mellékle (3)'!C35+'6a.sz.mellékle (3)'!F35+'6a.sz.mellékle (3)'!I35+'6a.sz.mellékle (3)'!L35+'6a.sz.mellékle (4)'!C35+'6a.sz.mellékle (4)'!F35+'6a.sz.mellékle (4)'!I35+'6a.sz.mellékle (4)'!L35+'6a.sz.mellékle (5)'!C35+'6a.sz.mellékle (5)'!F35+'6a.sz.mellékle (5)'!I35+'6a.sz.mellékle (5)'!L35+'6a.sz.mellékle (6)'!C35+'6a.sz.mellékle (6)'!F35+'6a.sz.mellékle (6)'!I35+'6a.sz.mellékle (6)'!L35+'6a.sz.mellékle (7)'!C35+'6a.sz.mellékle (7)'!F35+'6a.sz.mellékle (7)'!I35+'6a.sz.mellékle (7)'!L35+'6a.sz.mellékle (8)'!C35+'6a.sz.mellékle (8)'!F35+'6a.sz.mellékle (8)'!I35+'6a.sz.mellékle (8)'!L35+'6a.sz.mellékle (9)'!C35+'6a.sz.mellékle (9)'!F35+'6a.sz.mellékle (9)'!I35+'6a.sz.mellékle (9)'!L35+'6a.sz.mellékle (10)'!C35+'6a.sz.mellékle (10)'!F35</f>
        <v>0</v>
      </c>
      <c r="M35" s="65">
        <f>SUM('6a.sz.melléklet (1)'!D35+'6a.sz.melléklet (1)'!G35+'6a.sz.melléklet (1)'!J35+'6a.sz.melléklet (1)'!M35)+'6a.sz.mellékle (2)'!D35+'6a.sz.mellékle (2)'!G35+'6a.sz.mellékle (2)'!J35+'6a.sz.mellékle (2)'!M35+'6a.sz.mellékle (3)'!D35+'6a.sz.mellékle (3)'!G35+'6a.sz.mellékle (3)'!J35+'6a.sz.mellékle (3)'!M35+'6a.sz.mellékle (4)'!D35+'6a.sz.mellékle (4)'!G35+'6a.sz.mellékle (4)'!J35+'6a.sz.mellékle (4)'!M35+'6a.sz.mellékle (5)'!D35+'6a.sz.mellékle (5)'!G35+'6a.sz.mellékle (5)'!J35+'6a.sz.mellékle (5)'!M35+'6a.sz.mellékle (6)'!D35+'6a.sz.mellékle (6)'!G35+'6a.sz.mellékle (6)'!J35+'6a.sz.mellékle (6)'!M35+'6a.sz.mellékle (7)'!D35+'6a.sz.mellékle (7)'!G35+'6a.sz.mellékle (7)'!J35+'6a.sz.mellékle (7)'!M35+'6a.sz.mellékle (8)'!D35+'6a.sz.mellékle (8)'!G35+'6a.sz.mellékle (8)'!J35+'6a.sz.mellékle (8)'!M35+'6a.sz.mellékle (9)'!D35+'6a.sz.mellékle (9)'!G35+'6a.sz.mellékle (9)'!J35+'6a.sz.mellékle (9)'!M35+'6a.sz.mellékle (10)'!D35+'6a.sz.mellékle (10)'!G35</f>
        <v>0</v>
      </c>
    </row>
    <row r="36" spans="1:13" ht="12" customHeight="1">
      <c r="A36" s="1301" t="s">
        <v>398</v>
      </c>
      <c r="B36" s="65"/>
      <c r="C36" s="65"/>
      <c r="D36" s="65"/>
      <c r="E36" s="65"/>
      <c r="F36" s="65"/>
      <c r="G36" s="65"/>
      <c r="H36" s="65"/>
      <c r="I36" s="65"/>
      <c r="J36" s="65"/>
      <c r="K36" s="65">
        <f>SUM('6a.sz.melléklet (1)'!B36+'6a.sz.melléklet (1)'!E36+'6a.sz.melléklet (1)'!H36+'6a.sz.melléklet (1)'!K36)+'6a.sz.mellékle (2)'!B36+'6a.sz.mellékle (2)'!E36+'6a.sz.mellékle (2)'!H36+'6a.sz.mellékle (2)'!K36+'6a.sz.mellékle (3)'!B36+'6a.sz.mellékle (3)'!E36+'6a.sz.mellékle (3)'!H36+'6a.sz.mellékle (3)'!K36+'6a.sz.mellékle (4)'!B36+'6a.sz.mellékle (4)'!E36+'6a.sz.mellékle (4)'!H36+'6a.sz.mellékle (4)'!K36+'6a.sz.mellékle (5)'!B36+'6a.sz.mellékle (5)'!E36+'6a.sz.mellékle (5)'!H36+'6a.sz.mellékle (5)'!K36+'6a.sz.mellékle (6)'!B36+'6a.sz.mellékle (6)'!E36+'6a.sz.mellékle (6)'!H36+'6a.sz.mellékle (6)'!K36+'6a.sz.mellékle (7)'!B36+'6a.sz.mellékle (7)'!E36+'6a.sz.mellékle (7)'!H36+'6a.sz.mellékle (7)'!K36+'6a.sz.mellékle (8)'!B36+'6a.sz.mellékle (8)'!E36+'6a.sz.mellékle (8)'!H36+'6a.sz.mellékle (8)'!K36+'6a.sz.mellékle (9)'!B36+'6a.sz.mellékle (9)'!E36+'6a.sz.mellékle (9)'!H36+'6a.sz.mellékle (9)'!K36+'6a.sz.mellékle (10)'!B36+'6a.sz.mellékle (10)'!E36</f>
        <v>53380</v>
      </c>
      <c r="L36" s="65">
        <f>SUM('6a.sz.melléklet (1)'!C36+'6a.sz.melléklet (1)'!F36+'6a.sz.melléklet (1)'!I36+'6a.sz.melléklet (1)'!L36)+'6a.sz.mellékle (2)'!C36+'6a.sz.mellékle (2)'!F36+'6a.sz.mellékle (2)'!I36+'6a.sz.mellékle (2)'!L36+'6a.sz.mellékle (3)'!C36+'6a.sz.mellékle (3)'!F36+'6a.sz.mellékle (3)'!I36+'6a.sz.mellékle (3)'!L36+'6a.sz.mellékle (4)'!C36+'6a.sz.mellékle (4)'!F36+'6a.sz.mellékle (4)'!I36+'6a.sz.mellékle (4)'!L36+'6a.sz.mellékle (5)'!C36+'6a.sz.mellékle (5)'!F36+'6a.sz.mellékle (5)'!I36+'6a.sz.mellékle (5)'!L36+'6a.sz.mellékle (6)'!C36+'6a.sz.mellékle (6)'!F36+'6a.sz.mellékle (6)'!I36+'6a.sz.mellékle (6)'!L36+'6a.sz.mellékle (7)'!C36+'6a.sz.mellékle (7)'!F36+'6a.sz.mellékle (7)'!I36+'6a.sz.mellékle (7)'!L36+'6a.sz.mellékle (8)'!C36+'6a.sz.mellékle (8)'!F36+'6a.sz.mellékle (8)'!I36+'6a.sz.mellékle (8)'!L36+'6a.sz.mellékle (9)'!C36+'6a.sz.mellékle (9)'!F36+'6a.sz.mellékle (9)'!I36+'6a.sz.mellékle (9)'!L36+'6a.sz.mellékle (10)'!C36+'6a.sz.mellékle (10)'!F36</f>
        <v>0</v>
      </c>
      <c r="M36" s="65">
        <f>SUM('6a.sz.melléklet (1)'!D36+'6a.sz.melléklet (1)'!G36+'6a.sz.melléklet (1)'!J36+'6a.sz.melléklet (1)'!M36)+'6a.sz.mellékle (2)'!D36+'6a.sz.mellékle (2)'!G36+'6a.sz.mellékle (2)'!J36+'6a.sz.mellékle (2)'!M36+'6a.sz.mellékle (3)'!D36+'6a.sz.mellékle (3)'!G36+'6a.sz.mellékle (3)'!J36+'6a.sz.mellékle (3)'!M36+'6a.sz.mellékle (4)'!D36+'6a.sz.mellékle (4)'!G36+'6a.sz.mellékle (4)'!J36+'6a.sz.mellékle (4)'!M36+'6a.sz.mellékle (5)'!D36+'6a.sz.mellékle (5)'!G36+'6a.sz.mellékle (5)'!J36+'6a.sz.mellékle (5)'!M36+'6a.sz.mellékle (6)'!D36+'6a.sz.mellékle (6)'!G36+'6a.sz.mellékle (6)'!J36+'6a.sz.mellékle (6)'!M36+'6a.sz.mellékle (7)'!D36+'6a.sz.mellékle (7)'!G36+'6a.sz.mellékle (7)'!J36+'6a.sz.mellékle (7)'!M36+'6a.sz.mellékle (8)'!D36+'6a.sz.mellékle (8)'!G36+'6a.sz.mellékle (8)'!J36+'6a.sz.mellékle (8)'!M36+'6a.sz.mellékle (9)'!D36+'6a.sz.mellékle (9)'!G36+'6a.sz.mellékle (9)'!J36+'6a.sz.mellékle (9)'!M36+'6a.sz.mellékle (10)'!D36+'6a.sz.mellékle (10)'!G36</f>
        <v>0</v>
      </c>
    </row>
    <row r="37" spans="1:13" s="189" customFormat="1" ht="12.75">
      <c r="A37" s="358" t="s">
        <v>722</v>
      </c>
      <c r="B37" s="66">
        <f aca="true" t="shared" si="4" ref="B37:M37">SUM(B25:B34)</f>
        <v>345144</v>
      </c>
      <c r="C37" s="66">
        <f t="shared" si="4"/>
        <v>0</v>
      </c>
      <c r="D37" s="66">
        <f t="shared" si="4"/>
        <v>0</v>
      </c>
      <c r="E37" s="66">
        <f t="shared" si="4"/>
        <v>318040</v>
      </c>
      <c r="F37" s="66">
        <f t="shared" si="4"/>
        <v>0</v>
      </c>
      <c r="G37" s="66">
        <f t="shared" si="4"/>
        <v>0</v>
      </c>
      <c r="H37" s="66">
        <f t="shared" si="4"/>
        <v>0</v>
      </c>
      <c r="I37" s="66">
        <f t="shared" si="4"/>
        <v>0</v>
      </c>
      <c r="J37" s="66">
        <f t="shared" si="4"/>
        <v>0</v>
      </c>
      <c r="K37" s="66">
        <f t="shared" si="4"/>
        <v>5691047</v>
      </c>
      <c r="L37" s="66">
        <f t="shared" si="4"/>
        <v>0</v>
      </c>
      <c r="M37" s="66">
        <f t="shared" si="4"/>
        <v>0</v>
      </c>
    </row>
  </sheetData>
  <mergeCells count="8">
    <mergeCell ref="B8:D8"/>
    <mergeCell ref="E6:G6"/>
    <mergeCell ref="E7:G7"/>
    <mergeCell ref="E8:G8"/>
    <mergeCell ref="K8:M8"/>
    <mergeCell ref="H6:J6"/>
    <mergeCell ref="H7:J7"/>
    <mergeCell ref="H8:J8"/>
  </mergeCells>
  <printOptions horizontalCentered="1"/>
  <pageMargins left="0.3937007874015748" right="0.3937007874015748" top="0.31496062992125984" bottom="0.5118110236220472" header="0.31496062992125984" footer="0"/>
  <pageSetup horizontalDpi="300" verticalDpi="300" orientation="landscape" paperSize="9" r:id="rId1"/>
  <headerFooter alignWithMargins="0">
    <oddHeader>&amp;C&amp;"Times New Roman,Normál"&amp;8 10&amp;R&amp;"Times New Roman,Normál"6/a. számú melléklet</oddHeader>
    <oddFooter>&amp;C2007. eredeti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pane xSplit="1" ySplit="9" topLeftCell="D34" activePane="bottomRight" state="frozen"/>
      <selection pane="topLeft" activeCell="K6" sqref="K6"/>
      <selection pane="topRight" activeCell="K6" sqref="K6"/>
      <selection pane="bottomLeft" activeCell="K6" sqref="K6"/>
      <selection pane="bottomRight" activeCell="A1" sqref="A1"/>
    </sheetView>
  </sheetViews>
  <sheetFormatPr defaultColWidth="9.140625" defaultRowHeight="12.75"/>
  <cols>
    <col min="1" max="1" width="31.140625" style="27" customWidth="1"/>
    <col min="2" max="3" width="10.7109375" style="27" customWidth="1"/>
    <col min="4" max="4" width="10.28125" style="27" customWidth="1"/>
    <col min="5" max="10" width="10.7109375" style="27" customWidth="1"/>
    <col min="11" max="16384" width="9.140625" style="61" customWidth="1"/>
  </cols>
  <sheetData>
    <row r="1" spans="1:10" s="458" customFormat="1" ht="15.75">
      <c r="A1" s="456" t="s">
        <v>427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s="328" customFormat="1" ht="12">
      <c r="A2" s="484"/>
      <c r="B2" s="484"/>
      <c r="C2" s="484"/>
      <c r="D2" s="484"/>
      <c r="E2" s="484"/>
      <c r="F2" s="484"/>
      <c r="G2" s="484"/>
      <c r="H2" s="484"/>
      <c r="I2" s="484"/>
      <c r="J2" s="484"/>
    </row>
    <row r="3" spans="1:10" s="328" customFormat="1" ht="12">
      <c r="A3" s="485" t="s">
        <v>777</v>
      </c>
      <c r="B3" s="486">
        <v>1</v>
      </c>
      <c r="C3" s="487"/>
      <c r="D3" s="488"/>
      <c r="E3" s="486">
        <v>2</v>
      </c>
      <c r="F3" s="487"/>
      <c r="G3" s="488"/>
      <c r="H3" s="486">
        <v>3</v>
      </c>
      <c r="I3" s="487"/>
      <c r="J3" s="488"/>
    </row>
    <row r="4" spans="1:10" s="328" customFormat="1" ht="12">
      <c r="A4" s="485" t="s">
        <v>523</v>
      </c>
      <c r="E4" s="485"/>
      <c r="F4" s="359"/>
      <c r="G4" s="357"/>
      <c r="H4" s="356"/>
      <c r="I4" s="359"/>
      <c r="J4" s="357"/>
    </row>
    <row r="5" spans="1:10" s="328" customFormat="1" ht="12">
      <c r="A5" s="485" t="s">
        <v>778</v>
      </c>
      <c r="B5" s="1388" t="s">
        <v>523</v>
      </c>
      <c r="C5" s="1389"/>
      <c r="D5" s="1390"/>
      <c r="E5" s="486" t="s">
        <v>779</v>
      </c>
      <c r="F5" s="487"/>
      <c r="G5" s="488"/>
      <c r="H5" s="486" t="s">
        <v>780</v>
      </c>
      <c r="I5" s="487"/>
      <c r="J5" s="488"/>
    </row>
    <row r="6" spans="1:10" s="328" customFormat="1" ht="12.75" customHeight="1">
      <c r="A6" s="485" t="s">
        <v>781</v>
      </c>
      <c r="B6" s="1388">
        <v>851275</v>
      </c>
      <c r="C6" s="1389"/>
      <c r="D6" s="1390"/>
      <c r="E6" s="1388">
        <v>853244</v>
      </c>
      <c r="F6" s="1389"/>
      <c r="G6" s="1390"/>
      <c r="H6" s="1388">
        <v>853244</v>
      </c>
      <c r="I6" s="1389"/>
      <c r="J6" s="1390"/>
    </row>
    <row r="7" spans="1:10" s="328" customFormat="1" ht="12">
      <c r="A7" s="489" t="s">
        <v>782</v>
      </c>
      <c r="B7" s="1389" t="s">
        <v>214</v>
      </c>
      <c r="C7" s="1389"/>
      <c r="D7" s="1390"/>
      <c r="E7" s="490" t="s">
        <v>783</v>
      </c>
      <c r="F7" s="490"/>
      <c r="G7" s="491"/>
      <c r="H7" s="490" t="s">
        <v>783</v>
      </c>
      <c r="I7" s="490"/>
      <c r="J7" s="491"/>
    </row>
    <row r="8" spans="1:10" s="379" customFormat="1" ht="37.5" customHeight="1">
      <c r="A8" s="492" t="s">
        <v>784</v>
      </c>
      <c r="B8" s="639" t="s">
        <v>249</v>
      </c>
      <c r="C8" s="639"/>
      <c r="D8" s="639"/>
      <c r="E8" s="639" t="s">
        <v>249</v>
      </c>
      <c r="F8" s="639"/>
      <c r="G8" s="639"/>
      <c r="H8" s="639" t="s">
        <v>249</v>
      </c>
      <c r="I8" s="639"/>
      <c r="J8" s="639"/>
    </row>
    <row r="9" spans="1:10" s="328" customFormat="1" ht="9.75" customHeight="1">
      <c r="A9" s="329" t="s">
        <v>524</v>
      </c>
      <c r="B9" s="330" t="s">
        <v>525</v>
      </c>
      <c r="C9" s="329" t="s">
        <v>526</v>
      </c>
      <c r="D9" s="329" t="s">
        <v>729</v>
      </c>
      <c r="E9" s="329" t="s">
        <v>730</v>
      </c>
      <c r="F9" s="329" t="s">
        <v>731</v>
      </c>
      <c r="G9" s="329" t="s">
        <v>732</v>
      </c>
      <c r="H9" s="329" t="s">
        <v>733</v>
      </c>
      <c r="I9" s="329" t="s">
        <v>734</v>
      </c>
      <c r="J9" s="329" t="s">
        <v>735</v>
      </c>
    </row>
    <row r="10" spans="1:10" s="328" customFormat="1" ht="12.75">
      <c r="A10" s="353" t="s">
        <v>785</v>
      </c>
      <c r="B10" s="188">
        <v>274.5</v>
      </c>
      <c r="C10" s="1223"/>
      <c r="D10" s="1223"/>
      <c r="E10" s="1223">
        <v>22</v>
      </c>
      <c r="F10" s="1223"/>
      <c r="G10" s="1223"/>
      <c r="H10" s="1223">
        <v>16</v>
      </c>
      <c r="I10" s="1223"/>
      <c r="J10" s="1223"/>
    </row>
    <row r="11" spans="1:10" s="480" customFormat="1" ht="12.75">
      <c r="A11" s="351" t="s">
        <v>786</v>
      </c>
      <c r="B11" s="66"/>
      <c r="C11" s="66"/>
      <c r="D11" s="66"/>
      <c r="E11" s="66"/>
      <c r="F11" s="66"/>
      <c r="G11" s="66"/>
      <c r="H11" s="1224"/>
      <c r="I11" s="66"/>
      <c r="J11" s="66"/>
    </row>
    <row r="12" spans="1:10" s="328" customFormat="1" ht="12.75">
      <c r="A12" s="353" t="s">
        <v>787</v>
      </c>
      <c r="B12" s="65">
        <v>605727</v>
      </c>
      <c r="C12" s="65"/>
      <c r="D12" s="65"/>
      <c r="E12" s="65">
        <v>55292</v>
      </c>
      <c r="F12" s="65"/>
      <c r="G12" s="65"/>
      <c r="H12" s="65">
        <v>39366</v>
      </c>
      <c r="I12" s="65"/>
      <c r="J12" s="65"/>
    </row>
    <row r="13" spans="1:10" s="328" customFormat="1" ht="12.75">
      <c r="A13" s="353" t="s">
        <v>125</v>
      </c>
      <c r="B13" s="65">
        <v>194091</v>
      </c>
      <c r="C13" s="65"/>
      <c r="D13" s="65"/>
      <c r="E13" s="65">
        <v>17269</v>
      </c>
      <c r="F13" s="65"/>
      <c r="G13" s="65"/>
      <c r="H13" s="65">
        <v>12263</v>
      </c>
      <c r="I13" s="65"/>
      <c r="J13" s="65"/>
    </row>
    <row r="14" spans="1:10" s="328" customFormat="1" ht="12.75">
      <c r="A14" s="353" t="s">
        <v>126</v>
      </c>
      <c r="B14" s="65">
        <v>374353</v>
      </c>
      <c r="C14" s="65"/>
      <c r="D14" s="65"/>
      <c r="E14" s="65">
        <v>26648</v>
      </c>
      <c r="F14" s="65"/>
      <c r="G14" s="65"/>
      <c r="H14" s="65">
        <v>17971</v>
      </c>
      <c r="I14" s="65"/>
      <c r="J14" s="65"/>
    </row>
    <row r="15" spans="1:10" s="328" customFormat="1" ht="25.5" customHeight="1">
      <c r="A15" s="339" t="s">
        <v>421</v>
      </c>
      <c r="B15" s="380">
        <v>1179</v>
      </c>
      <c r="C15" s="380"/>
      <c r="D15" s="380"/>
      <c r="E15" s="380">
        <v>0</v>
      </c>
      <c r="F15" s="380"/>
      <c r="G15" s="380"/>
      <c r="H15" s="380">
        <v>0</v>
      </c>
      <c r="I15" s="380"/>
      <c r="J15" s="380"/>
    </row>
    <row r="16" spans="1:10" s="328" customFormat="1" ht="12.75">
      <c r="A16" s="353" t="s">
        <v>590</v>
      </c>
      <c r="B16" s="65">
        <v>0</v>
      </c>
      <c r="C16" s="65"/>
      <c r="D16" s="65"/>
      <c r="E16" s="65">
        <v>0</v>
      </c>
      <c r="F16" s="65"/>
      <c r="G16" s="65"/>
      <c r="H16" s="65">
        <v>0</v>
      </c>
      <c r="I16" s="65"/>
      <c r="J16" s="65"/>
    </row>
    <row r="17" spans="1:10" s="480" customFormat="1" ht="12.75">
      <c r="A17" s="351" t="s">
        <v>127</v>
      </c>
      <c r="B17" s="66">
        <f>SUM(B12:B16)</f>
        <v>1175350</v>
      </c>
      <c r="C17" s="66"/>
      <c r="D17" s="66"/>
      <c r="E17" s="66">
        <f>SUM(E12:E16)</f>
        <v>99209</v>
      </c>
      <c r="F17" s="66"/>
      <c r="G17" s="66"/>
      <c r="H17" s="66">
        <f>SUM(H12:H16)</f>
        <v>69600</v>
      </c>
      <c r="I17" s="66"/>
      <c r="J17" s="66"/>
    </row>
    <row r="18" spans="1:10" s="328" customFormat="1" ht="12.75">
      <c r="A18" s="353" t="s">
        <v>800</v>
      </c>
      <c r="B18" s="65">
        <v>9000</v>
      </c>
      <c r="C18" s="65"/>
      <c r="D18" s="65"/>
      <c r="E18" s="65">
        <v>0</v>
      </c>
      <c r="F18" s="65"/>
      <c r="G18" s="65"/>
      <c r="H18" s="65">
        <v>0</v>
      </c>
      <c r="I18" s="65"/>
      <c r="J18" s="65"/>
    </row>
    <row r="19" spans="1:10" s="328" customFormat="1" ht="12.75">
      <c r="A19" s="353" t="s">
        <v>801</v>
      </c>
      <c r="B19" s="65">
        <v>0</v>
      </c>
      <c r="C19" s="65"/>
      <c r="D19" s="65"/>
      <c r="E19" s="65">
        <v>0</v>
      </c>
      <c r="F19" s="65"/>
      <c r="G19" s="65"/>
      <c r="H19" s="65">
        <v>0</v>
      </c>
      <c r="I19" s="65"/>
      <c r="J19" s="65"/>
    </row>
    <row r="20" spans="1:10" s="328" customFormat="1" ht="27" customHeight="1">
      <c r="A20" s="339" t="s">
        <v>799</v>
      </c>
      <c r="B20" s="380">
        <v>0</v>
      </c>
      <c r="C20" s="380"/>
      <c r="D20" s="380"/>
      <c r="E20" s="380">
        <v>0</v>
      </c>
      <c r="F20" s="380"/>
      <c r="G20" s="380"/>
      <c r="H20" s="380">
        <v>0</v>
      </c>
      <c r="I20" s="380"/>
      <c r="J20" s="380"/>
    </row>
    <row r="21" spans="1:10" s="480" customFormat="1" ht="12.75">
      <c r="A21" s="351" t="s">
        <v>719</v>
      </c>
      <c r="B21" s="66">
        <f>SUM(B18:B20)</f>
        <v>9000</v>
      </c>
      <c r="C21" s="66"/>
      <c r="D21" s="66"/>
      <c r="E21" s="66">
        <f>SUM(E18:E20)</f>
        <v>0</v>
      </c>
      <c r="F21" s="66"/>
      <c r="G21" s="66"/>
      <c r="H21" s="66">
        <f>SUM(H18:H20)</f>
        <v>0</v>
      </c>
      <c r="I21" s="66"/>
      <c r="J21" s="66"/>
    </row>
    <row r="22" spans="1:10" s="481" customFormat="1" ht="13.5">
      <c r="A22" s="358" t="s">
        <v>720</v>
      </c>
      <c r="B22" s="68">
        <f>SUM(B21,B17)</f>
        <v>1184350</v>
      </c>
      <c r="C22" s="68"/>
      <c r="D22" s="68"/>
      <c r="E22" s="68">
        <f>SUM(E21,E17)</f>
        <v>99209</v>
      </c>
      <c r="F22" s="68"/>
      <c r="G22" s="68"/>
      <c r="H22" s="68">
        <f>SUM(H21,H17)</f>
        <v>69600</v>
      </c>
      <c r="I22" s="68"/>
      <c r="J22" s="68"/>
    </row>
    <row r="23" spans="1:10" s="480" customFormat="1" ht="12.75">
      <c r="A23" s="351" t="s">
        <v>721</v>
      </c>
      <c r="B23" s="66"/>
      <c r="C23" s="66"/>
      <c r="D23" s="66"/>
      <c r="E23" s="66"/>
      <c r="F23" s="66"/>
      <c r="G23" s="66"/>
      <c r="H23" s="66"/>
      <c r="I23" s="66"/>
      <c r="J23" s="66"/>
    </row>
    <row r="24" spans="1:10" s="328" customFormat="1" ht="24">
      <c r="A24" s="339" t="s">
        <v>422</v>
      </c>
      <c r="B24" s="380">
        <v>0</v>
      </c>
      <c r="C24" s="380"/>
      <c r="D24" s="380"/>
      <c r="E24" s="380">
        <v>0</v>
      </c>
      <c r="F24" s="380"/>
      <c r="G24" s="380"/>
      <c r="H24" s="380">
        <v>0</v>
      </c>
      <c r="I24" s="380"/>
      <c r="J24" s="380"/>
    </row>
    <row r="25" spans="1:10" s="328" customFormat="1" ht="24">
      <c r="A25" s="339" t="s">
        <v>448</v>
      </c>
      <c r="B25" s="380">
        <v>15709</v>
      </c>
      <c r="C25" s="380"/>
      <c r="D25" s="380"/>
      <c r="E25" s="380">
        <v>0</v>
      </c>
      <c r="F25" s="380"/>
      <c r="G25" s="380"/>
      <c r="H25" s="380">
        <v>0</v>
      </c>
      <c r="I25" s="380"/>
      <c r="J25" s="380"/>
    </row>
    <row r="26" spans="1:10" s="328" customFormat="1" ht="12.75">
      <c r="A26" s="353" t="s">
        <v>449</v>
      </c>
      <c r="B26" s="65">
        <v>12785</v>
      </c>
      <c r="C26" s="65"/>
      <c r="D26" s="65"/>
      <c r="E26" s="65">
        <v>1495</v>
      </c>
      <c r="F26" s="65"/>
      <c r="G26" s="65"/>
      <c r="H26" s="65">
        <v>0</v>
      </c>
      <c r="I26" s="65"/>
      <c r="J26" s="65"/>
    </row>
    <row r="27" spans="1:10" s="328" customFormat="1" ht="12.75">
      <c r="A27" s="353" t="s">
        <v>424</v>
      </c>
      <c r="B27" s="65">
        <v>273</v>
      </c>
      <c r="C27" s="65"/>
      <c r="D27" s="65"/>
      <c r="E27" s="65">
        <v>0</v>
      </c>
      <c r="F27" s="65"/>
      <c r="G27" s="65"/>
      <c r="H27" s="65">
        <v>0</v>
      </c>
      <c r="I27" s="65"/>
      <c r="J27" s="65"/>
    </row>
    <row r="28" spans="1:10" s="328" customFormat="1" ht="12.75">
      <c r="A28" s="353" t="s">
        <v>425</v>
      </c>
      <c r="B28" s="65">
        <v>3633</v>
      </c>
      <c r="C28" s="65"/>
      <c r="D28" s="65"/>
      <c r="E28" s="65">
        <v>299</v>
      </c>
      <c r="F28" s="65"/>
      <c r="G28" s="65"/>
      <c r="H28" s="65">
        <v>0</v>
      </c>
      <c r="I28" s="65"/>
      <c r="J28" s="65"/>
    </row>
    <row r="29" spans="1:10" s="328" customFormat="1" ht="25.5" customHeight="1">
      <c r="A29" s="339" t="s">
        <v>794</v>
      </c>
      <c r="B29" s="380">
        <v>803064</v>
      </c>
      <c r="C29" s="380"/>
      <c r="D29" s="380"/>
      <c r="E29" s="380">
        <v>0</v>
      </c>
      <c r="F29" s="380"/>
      <c r="G29" s="380"/>
      <c r="H29" s="380">
        <v>0</v>
      </c>
      <c r="I29" s="380"/>
      <c r="J29" s="380"/>
    </row>
    <row r="30" spans="1:10" s="328" customFormat="1" ht="25.5" customHeight="1">
      <c r="A30" s="482" t="s">
        <v>795</v>
      </c>
      <c r="B30" s="380">
        <v>0</v>
      </c>
      <c r="C30" s="380"/>
      <c r="D30" s="380"/>
      <c r="E30" s="380">
        <v>0</v>
      </c>
      <c r="F30" s="380"/>
      <c r="G30" s="380"/>
      <c r="H30" s="380">
        <v>0</v>
      </c>
      <c r="I30" s="380"/>
      <c r="J30" s="380"/>
    </row>
    <row r="31" spans="1:10" s="328" customFormat="1" ht="12.75">
      <c r="A31" s="353" t="s">
        <v>796</v>
      </c>
      <c r="B31" s="1225">
        <v>0</v>
      </c>
      <c r="C31" s="65"/>
      <c r="D31" s="65"/>
      <c r="E31" s="65">
        <v>0</v>
      </c>
      <c r="F31" s="65"/>
      <c r="G31" s="65"/>
      <c r="H31" s="65">
        <v>0</v>
      </c>
      <c r="I31" s="65"/>
      <c r="J31" s="65"/>
    </row>
    <row r="32" spans="1:10" s="328" customFormat="1" ht="12.75">
      <c r="A32" s="353" t="s">
        <v>797</v>
      </c>
      <c r="B32" s="1225">
        <v>0</v>
      </c>
      <c r="C32" s="65"/>
      <c r="D32" s="65"/>
      <c r="E32" s="65"/>
      <c r="F32" s="65"/>
      <c r="G32" s="65"/>
      <c r="H32" s="65">
        <v>0</v>
      </c>
      <c r="I32" s="65"/>
      <c r="J32" s="65"/>
    </row>
    <row r="33" spans="1:10" s="328" customFormat="1" ht="12.75">
      <c r="A33" s="353" t="s">
        <v>798</v>
      </c>
      <c r="B33" s="1225">
        <v>348886</v>
      </c>
      <c r="C33" s="65"/>
      <c r="D33" s="65"/>
      <c r="E33" s="65">
        <v>97415</v>
      </c>
      <c r="F33" s="65"/>
      <c r="G33" s="65"/>
      <c r="H33" s="65">
        <v>69600</v>
      </c>
      <c r="I33" s="65"/>
      <c r="J33" s="65"/>
    </row>
    <row r="34" spans="1:10" s="328" customFormat="1" ht="12.75">
      <c r="A34" s="483" t="s">
        <v>793</v>
      </c>
      <c r="B34" s="1225">
        <v>0</v>
      </c>
      <c r="C34" s="65"/>
      <c r="D34" s="65"/>
      <c r="E34" s="65">
        <v>31585</v>
      </c>
      <c r="F34" s="65"/>
      <c r="G34" s="65"/>
      <c r="H34" s="65">
        <v>27925</v>
      </c>
      <c r="I34" s="65"/>
      <c r="J34" s="65"/>
    </row>
    <row r="35" spans="1:10" s="481" customFormat="1" ht="13.5">
      <c r="A35" s="358" t="s">
        <v>722</v>
      </c>
      <c r="B35" s="640">
        <f>SUM(B24:B34)</f>
        <v>1184350</v>
      </c>
      <c r="C35" s="640"/>
      <c r="D35" s="640"/>
      <c r="E35" s="640">
        <f>SUM(E24:E33)</f>
        <v>99209</v>
      </c>
      <c r="F35" s="640"/>
      <c r="G35" s="640"/>
      <c r="H35" s="640">
        <f>SUM(H24:H33)</f>
        <v>69600</v>
      </c>
      <c r="I35" s="640"/>
      <c r="J35" s="640"/>
    </row>
    <row r="36" spans="1:7" ht="12.75">
      <c r="A36" s="33"/>
      <c r="B36" s="33"/>
      <c r="C36" s="33"/>
      <c r="D36" s="33"/>
      <c r="E36" s="33"/>
      <c r="F36" s="33"/>
      <c r="G36" s="33"/>
    </row>
    <row r="37" spans="1:10" ht="12.75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12.75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12.75">
      <c r="A39" s="33"/>
      <c r="B39" s="33"/>
      <c r="C39" s="33"/>
      <c r="D39" s="33"/>
      <c r="E39" s="33"/>
      <c r="F39" s="33"/>
      <c r="G39" s="33"/>
      <c r="H39" s="33"/>
      <c r="I39" s="33"/>
      <c r="J39" s="33"/>
    </row>
    <row r="40" spans="1:10" ht="12.75">
      <c r="A40" s="33"/>
      <c r="B40" s="33"/>
      <c r="C40" s="33"/>
      <c r="D40" s="33"/>
      <c r="E40" s="33"/>
      <c r="F40" s="33"/>
      <c r="G40" s="33"/>
      <c r="H40" s="33"/>
      <c r="I40" s="33"/>
      <c r="J40" s="33"/>
    </row>
    <row r="41" spans="1:10" ht="12.75">
      <c r="A41" s="33"/>
      <c r="B41" s="33"/>
      <c r="C41" s="33"/>
      <c r="D41" s="33"/>
      <c r="E41" s="33"/>
      <c r="F41" s="33"/>
      <c r="G41" s="33"/>
      <c r="H41" s="33"/>
      <c r="I41" s="33"/>
      <c r="J41" s="33"/>
    </row>
    <row r="42" spans="1:10" ht="12.75">
      <c r="A42" s="33"/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12.75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0" ht="12.75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0" ht="12.7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12.75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2.75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ht="12.75">
      <c r="A48" s="33"/>
    </row>
    <row r="49" ht="12.75">
      <c r="A49" s="33"/>
    </row>
    <row r="50" ht="12.75">
      <c r="A50" s="33"/>
    </row>
  </sheetData>
  <mergeCells count="5">
    <mergeCell ref="H6:J6"/>
    <mergeCell ref="B5:D5"/>
    <mergeCell ref="B7:D7"/>
    <mergeCell ref="E6:G6"/>
    <mergeCell ref="B6:D6"/>
  </mergeCells>
  <printOptions horizontalCentered="1" verticalCentered="1"/>
  <pageMargins left="0" right="0" top="0.38" bottom="0" header="0.31496062992125984" footer="0"/>
  <pageSetup fitToHeight="1" fitToWidth="1" horizontalDpi="300" verticalDpi="300" orientation="landscape" paperSize="9" r:id="rId1"/>
  <headerFooter alignWithMargins="0">
    <oddHeader>&amp;C1&amp;R&amp;"Times New Roman CE,Normál"6/b. számú melléklet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workbookViewId="0" topLeftCell="A22">
      <selection activeCell="B34" sqref="B34"/>
    </sheetView>
  </sheetViews>
  <sheetFormatPr defaultColWidth="9.140625" defaultRowHeight="12.75"/>
  <cols>
    <col min="1" max="1" width="44.140625" style="27" bestFit="1" customWidth="1"/>
    <col min="2" max="2" width="10.7109375" style="27" customWidth="1"/>
    <col min="3" max="4" width="11.7109375" style="27" customWidth="1"/>
    <col min="5" max="5" width="10.7109375" style="147" customWidth="1"/>
    <col min="6" max="7" width="11.7109375" style="27" customWidth="1"/>
  </cols>
  <sheetData>
    <row r="1" spans="1:7" s="178" customFormat="1" ht="15.75">
      <c r="A1" s="26" t="s">
        <v>427</v>
      </c>
      <c r="B1" s="177"/>
      <c r="C1" s="177"/>
      <c r="D1" s="177"/>
      <c r="E1" s="191"/>
      <c r="F1" s="177"/>
      <c r="G1" s="177"/>
    </row>
    <row r="3" spans="1:7" ht="12.75">
      <c r="A3" s="31" t="s">
        <v>777</v>
      </c>
      <c r="B3" s="179">
        <v>4</v>
      </c>
      <c r="C3" s="179"/>
      <c r="D3" s="129"/>
      <c r="E3" s="192">
        <v>5</v>
      </c>
      <c r="F3" s="179"/>
      <c r="G3" s="129"/>
    </row>
    <row r="4" spans="1:7" ht="12.75">
      <c r="A4" s="31" t="s">
        <v>523</v>
      </c>
      <c r="B4" s="180"/>
      <c r="C4" s="180"/>
      <c r="D4" s="181"/>
      <c r="E4" s="193"/>
      <c r="F4" s="138"/>
      <c r="G4" s="182"/>
    </row>
    <row r="5" spans="1:7" ht="12.75">
      <c r="A5" s="31" t="s">
        <v>778</v>
      </c>
      <c r="B5" s="287" t="s">
        <v>745</v>
      </c>
      <c r="C5" s="287"/>
      <c r="D5" s="288"/>
      <c r="E5" s="192" t="s">
        <v>723</v>
      </c>
      <c r="F5" s="179"/>
      <c r="G5" s="129"/>
    </row>
    <row r="6" spans="1:7" ht="12.75">
      <c r="A6" s="31" t="s">
        <v>781</v>
      </c>
      <c r="B6" s="1382">
        <v>853233</v>
      </c>
      <c r="C6" s="1383"/>
      <c r="D6" s="1384"/>
      <c r="E6" s="1391"/>
      <c r="F6" s="1392"/>
      <c r="G6" s="1393"/>
    </row>
    <row r="7" spans="1:7" ht="12.75">
      <c r="A7" s="31" t="s">
        <v>782</v>
      </c>
      <c r="B7" s="183" t="s">
        <v>943</v>
      </c>
      <c r="C7" s="183"/>
      <c r="D7" s="184"/>
      <c r="E7" s="185"/>
      <c r="F7" s="185"/>
      <c r="G7" s="184"/>
    </row>
    <row r="8" spans="1:7" s="187" customFormat="1" ht="37.5" customHeight="1">
      <c r="A8" s="186" t="s">
        <v>784</v>
      </c>
      <c r="B8" s="639" t="s">
        <v>249</v>
      </c>
      <c r="C8" s="639"/>
      <c r="D8" s="639"/>
      <c r="E8" s="639" t="s">
        <v>249</v>
      </c>
      <c r="F8" s="639" t="s">
        <v>635</v>
      </c>
      <c r="G8" s="639" t="s">
        <v>893</v>
      </c>
    </row>
    <row r="9" spans="1:7" ht="9.75" customHeight="1">
      <c r="A9" s="31" t="s">
        <v>524</v>
      </c>
      <c r="B9" s="32" t="s">
        <v>525</v>
      </c>
      <c r="C9" s="31" t="s">
        <v>526</v>
      </c>
      <c r="D9" s="31" t="s">
        <v>729</v>
      </c>
      <c r="E9" s="149" t="s">
        <v>730</v>
      </c>
      <c r="F9" s="31" t="s">
        <v>731</v>
      </c>
      <c r="G9" s="31" t="s">
        <v>732</v>
      </c>
    </row>
    <row r="10" spans="1:7" ht="12.75">
      <c r="A10" s="353" t="s">
        <v>785</v>
      </c>
      <c r="B10" s="493">
        <v>73</v>
      </c>
      <c r="C10" s="493"/>
      <c r="D10" s="493"/>
      <c r="E10" s="396">
        <f>SUM('6b.számú melléklet(1)'!B10,'6b.számú melléklet(1)'!E10,'6b.számú melléklet(1)'!H10+'6b.számú melléklet(2)'!B10)</f>
        <v>385.5</v>
      </c>
      <c r="F10" s="396"/>
      <c r="G10" s="396"/>
    </row>
    <row r="11" spans="1:7" s="189" customFormat="1" ht="12.75">
      <c r="A11" s="351" t="s">
        <v>786</v>
      </c>
      <c r="B11" s="66"/>
      <c r="C11" s="66"/>
      <c r="D11" s="66"/>
      <c r="E11" s="150"/>
      <c r="F11" s="150"/>
      <c r="G11" s="150"/>
    </row>
    <row r="12" spans="1:7" ht="12.75">
      <c r="A12" s="353" t="s">
        <v>787</v>
      </c>
      <c r="B12" s="65">
        <v>139319</v>
      </c>
      <c r="C12" s="65"/>
      <c r="D12" s="65"/>
      <c r="E12" s="150">
        <f>SUM('6b.számú melléklet(1)'!B12,'6b.számú melléklet(1)'!E12,'6b.számú melléklet(1)'!H12+'6b.számú melléklet(2)'!B12)</f>
        <v>839704</v>
      </c>
      <c r="F12" s="150"/>
      <c r="G12" s="150"/>
    </row>
    <row r="13" spans="1:7" ht="12.75">
      <c r="A13" s="353" t="s">
        <v>125</v>
      </c>
      <c r="B13" s="65">
        <v>43481</v>
      </c>
      <c r="C13" s="65"/>
      <c r="D13" s="65"/>
      <c r="E13" s="150">
        <f>SUM('6b.számú melléklet(1)'!B13,'6b.számú melléklet(1)'!E13,'6b.számú melléklet(1)'!H13+'6b.számú melléklet(2)'!B13)</f>
        <v>267104</v>
      </c>
      <c r="F13" s="150"/>
      <c r="G13" s="150"/>
    </row>
    <row r="14" spans="1:7" ht="12.75">
      <c r="A14" s="353" t="s">
        <v>126</v>
      </c>
      <c r="B14" s="65">
        <v>103887</v>
      </c>
      <c r="C14" s="65"/>
      <c r="D14" s="65"/>
      <c r="E14" s="150">
        <f>SUM('6b.számú melléklet(1)'!B14,'6b.számú melléklet(1)'!E14,'6b.számú melléklet(1)'!H14+'6b.számú melléklet(2)'!B14)</f>
        <v>522859</v>
      </c>
      <c r="F14" s="150"/>
      <c r="G14" s="150"/>
    </row>
    <row r="15" spans="1:7" ht="24">
      <c r="A15" s="339" t="s">
        <v>421</v>
      </c>
      <c r="B15" s="65">
        <v>0</v>
      </c>
      <c r="C15" s="65"/>
      <c r="D15" s="65"/>
      <c r="E15" s="150">
        <f>SUM('6b.számú melléklet(1)'!B15,'6b.számú melléklet(1)'!E15,'6b.számú melléklet(1)'!H15+'6b.számú melléklet(2)'!B15)</f>
        <v>1179</v>
      </c>
      <c r="F15" s="150"/>
      <c r="G15" s="150"/>
    </row>
    <row r="16" spans="1:7" ht="12.75">
      <c r="A16" s="353" t="s">
        <v>590</v>
      </c>
      <c r="B16" s="65">
        <v>0</v>
      </c>
      <c r="C16" s="65"/>
      <c r="D16" s="65"/>
      <c r="E16" s="150">
        <f>SUM('6b.számú melléklet(1)'!B16,'6b.számú melléklet(1)'!E16,'6b.számú melléklet(1)'!H16+'6b.számú melléklet(2)'!B16)</f>
        <v>0</v>
      </c>
      <c r="F16" s="150"/>
      <c r="G16" s="150"/>
    </row>
    <row r="17" spans="1:7" s="189" customFormat="1" ht="12.75">
      <c r="A17" s="351" t="s">
        <v>127</v>
      </c>
      <c r="B17" s="66">
        <f>SUM(B12:B16)</f>
        <v>286687</v>
      </c>
      <c r="C17" s="66"/>
      <c r="D17" s="66"/>
      <c r="E17" s="642">
        <f>SUM('6b.számú melléklet(1)'!B17,'6b.számú melléklet(1)'!E17,'6b.számú melléklet(1)'!H17+'6b.számú melléklet(2)'!B17)</f>
        <v>1630846</v>
      </c>
      <c r="F17" s="642"/>
      <c r="G17" s="642"/>
    </row>
    <row r="18" spans="1:7" ht="12.75">
      <c r="A18" s="353" t="s">
        <v>800</v>
      </c>
      <c r="B18" s="65">
        <v>0</v>
      </c>
      <c r="C18" s="65"/>
      <c r="D18" s="65"/>
      <c r="E18" s="150">
        <f>SUM('6b.számú melléklet(1)'!B18,'6b.számú melléklet(1)'!E18,'6b.számú melléklet(1)'!H18+'6b.számú melléklet(2)'!B18)</f>
        <v>9000</v>
      </c>
      <c r="F18" s="150"/>
      <c r="G18" s="150"/>
    </row>
    <row r="19" spans="1:7" ht="12.75">
      <c r="A19" s="353" t="s">
        <v>801</v>
      </c>
      <c r="B19" s="65">
        <v>0</v>
      </c>
      <c r="C19" s="65"/>
      <c r="D19" s="65"/>
      <c r="E19" s="150">
        <f>SUM('6b.számú melléklet(1)'!B19,'6b.számú melléklet(1)'!E19,'6b.számú melléklet(1)'!H19+'6b.számú melléklet(2)'!B19)</f>
        <v>0</v>
      </c>
      <c r="F19" s="150"/>
      <c r="G19" s="150"/>
    </row>
    <row r="20" spans="1:7" ht="24">
      <c r="A20" s="339" t="s">
        <v>799</v>
      </c>
      <c r="B20" s="380">
        <v>0</v>
      </c>
      <c r="C20" s="380"/>
      <c r="D20" s="380"/>
      <c r="E20" s="641">
        <f>SUM('6b.számú melléklet(1)'!B20,'6b.számú melléklet(1)'!E20,'6b.számú melléklet(1)'!H20+'6b.számú melléklet(2)'!B20)</f>
        <v>0</v>
      </c>
      <c r="F20" s="641"/>
      <c r="G20" s="641"/>
    </row>
    <row r="21" spans="1:7" s="189" customFormat="1" ht="12.75">
      <c r="A21" s="351" t="s">
        <v>719</v>
      </c>
      <c r="B21" s="66">
        <f>SUM(B18:B20)</f>
        <v>0</v>
      </c>
      <c r="C21" s="66"/>
      <c r="D21" s="66"/>
      <c r="E21" s="642">
        <f>SUM('6b.számú melléklet(1)'!B21,'6b.számú melléklet(1)'!E21,'6b.számú melléklet(1)'!H21+'6b.számú melléklet(2)'!B21)</f>
        <v>9000</v>
      </c>
      <c r="F21" s="642"/>
      <c r="G21" s="642"/>
    </row>
    <row r="22" spans="1:7" s="190" customFormat="1" ht="13.5">
      <c r="A22" s="358" t="s">
        <v>720</v>
      </c>
      <c r="B22" s="68">
        <f>SUM(B21,B17)</f>
        <v>286687</v>
      </c>
      <c r="C22" s="68"/>
      <c r="D22" s="68"/>
      <c r="E22" s="526">
        <f>SUM('6b.számú melléklet(1)'!B22,'6b.számú melléklet(1)'!E22,'6b.számú melléklet(1)'!H22+'6b.számú melléklet(2)'!B22)</f>
        <v>1639846</v>
      </c>
      <c r="F22" s="526"/>
      <c r="G22" s="526"/>
    </row>
    <row r="23" spans="1:7" s="189" customFormat="1" ht="12.75">
      <c r="A23" s="351" t="s">
        <v>721</v>
      </c>
      <c r="B23" s="66"/>
      <c r="C23" s="66"/>
      <c r="D23" s="66"/>
      <c r="E23" s="150">
        <f>SUM('6b.számú melléklet(1)'!B23,'6b.számú melléklet(1)'!E23,'6b.számú melléklet(1)'!H23+'6b.számú melléklet(2)'!B23)</f>
        <v>0</v>
      </c>
      <c r="F23" s="150"/>
      <c r="G23" s="150"/>
    </row>
    <row r="24" spans="1:7" ht="12.75">
      <c r="A24" s="339" t="s">
        <v>422</v>
      </c>
      <c r="B24" s="65">
        <v>0</v>
      </c>
      <c r="C24" s="65"/>
      <c r="D24" s="65"/>
      <c r="E24" s="150">
        <f>SUM('6b.számú melléklet(1)'!B24,'6b.számú melléklet(1)'!E24,'6b.számú melléklet(1)'!H24+'6b.számú melléklet(2)'!B24)</f>
        <v>0</v>
      </c>
      <c r="F24" s="150"/>
      <c r="G24" s="150"/>
    </row>
    <row r="25" spans="1:7" ht="12.75">
      <c r="A25" s="339" t="s">
        <v>448</v>
      </c>
      <c r="B25" s="65">
        <v>51485</v>
      </c>
      <c r="C25" s="65"/>
      <c r="D25" s="65"/>
      <c r="E25" s="150">
        <f>SUM('6b.számú melléklet(1)'!B25,'6b.számú melléklet(1)'!E25,'6b.számú melléklet(1)'!H25+'6b.számú melléklet(2)'!B25)</f>
        <v>67194</v>
      </c>
      <c r="F25" s="150"/>
      <c r="G25" s="150"/>
    </row>
    <row r="26" spans="1:7" ht="12.75">
      <c r="A26" s="353" t="s">
        <v>449</v>
      </c>
      <c r="B26" s="65">
        <v>252</v>
      </c>
      <c r="C26" s="65"/>
      <c r="D26" s="65"/>
      <c r="E26" s="150">
        <f>SUM('6b.számú melléklet(1)'!B26,'6b.számú melléklet(1)'!E26,'6b.számú melléklet(1)'!H26+'6b.számú melléklet(2)'!B26)</f>
        <v>14532</v>
      </c>
      <c r="F26" s="150"/>
      <c r="G26" s="150"/>
    </row>
    <row r="27" spans="1:7" ht="12.75">
      <c r="A27" s="353" t="s">
        <v>424</v>
      </c>
      <c r="B27" s="65">
        <v>0</v>
      </c>
      <c r="C27" s="65"/>
      <c r="D27" s="65"/>
      <c r="E27" s="150">
        <f>SUM('6b.számú melléklet(1)'!B27,'6b.számú melléklet(1)'!E27,'6b.számú melléklet(1)'!H27+'6b.számú melléklet(2)'!B27)</f>
        <v>273</v>
      </c>
      <c r="F27" s="150"/>
      <c r="G27" s="150"/>
    </row>
    <row r="28" spans="1:7" ht="12.75">
      <c r="A28" s="353" t="s">
        <v>425</v>
      </c>
      <c r="B28" s="65">
        <v>6522</v>
      </c>
      <c r="C28" s="65"/>
      <c r="D28" s="65"/>
      <c r="E28" s="150">
        <f>SUM('6b.számú melléklet(1)'!B28,'6b.számú melléklet(1)'!E28,'6b.számú melléklet(1)'!H28+'6b.számú melléklet(2)'!B28)</f>
        <v>10454</v>
      </c>
      <c r="F28" s="150"/>
      <c r="G28" s="150"/>
    </row>
    <row r="29" spans="1:7" ht="24">
      <c r="A29" s="423" t="s">
        <v>794</v>
      </c>
      <c r="B29" s="380">
        <v>0</v>
      </c>
      <c r="C29" s="380"/>
      <c r="D29" s="380"/>
      <c r="E29" s="641">
        <f>SUM('6b.számú melléklet(1)'!B29,'6b.számú melléklet(1)'!E29,'6b.számú melléklet(1)'!H29+'6b.számú melléklet(2)'!B29)</f>
        <v>803064</v>
      </c>
      <c r="F29" s="641"/>
      <c r="G29" s="641"/>
    </row>
    <row r="30" spans="1:7" ht="24">
      <c r="A30" s="482" t="s">
        <v>795</v>
      </c>
      <c r="B30" s="380">
        <v>0</v>
      </c>
      <c r="C30" s="380"/>
      <c r="D30" s="380"/>
      <c r="E30" s="641">
        <f>SUM('6b.számú melléklet(1)'!B30,'6b.számú melléklet(1)'!E30,'6b.számú melléklet(1)'!H30+'6b.számú melléklet(2)'!B30)</f>
        <v>0</v>
      </c>
      <c r="F30" s="641"/>
      <c r="G30" s="641"/>
    </row>
    <row r="31" spans="1:7" ht="12.75">
      <c r="A31" s="353" t="s">
        <v>796</v>
      </c>
      <c r="B31" s="65">
        <v>0</v>
      </c>
      <c r="C31" s="65"/>
      <c r="D31" s="65"/>
      <c r="E31" s="150">
        <f>SUM('6b.számú melléklet(1)'!B31,'6b.számú melléklet(1)'!E31,'6b.számú melléklet(1)'!H31+'6b.számú melléklet(2)'!B31)</f>
        <v>0</v>
      </c>
      <c r="F31" s="150"/>
      <c r="G31" s="150"/>
    </row>
    <row r="32" spans="1:7" ht="12.75">
      <c r="A32" s="353" t="s">
        <v>797</v>
      </c>
      <c r="B32" s="27">
        <v>0</v>
      </c>
      <c r="C32" s="65"/>
      <c r="D32" s="65"/>
      <c r="E32" s="150">
        <f>SUM('6b.számú melléklet(1)'!B32,'6b.számú melléklet(1)'!E32,'6b.számú melléklet(1)'!H32+'6b.számú melléklet(2)'!B32)</f>
        <v>0</v>
      </c>
      <c r="F32" s="150"/>
      <c r="G32" s="150"/>
    </row>
    <row r="33" spans="1:7" ht="12.75">
      <c r="A33" s="353" t="s">
        <v>798</v>
      </c>
      <c r="B33" s="65">
        <v>228428</v>
      </c>
      <c r="C33" s="65"/>
      <c r="D33" s="65"/>
      <c r="E33" s="150">
        <f>SUM('6b.számú melléklet(1)'!B33,'6b.számú melléklet(1)'!E33,'6b.számú melléklet(1)'!H33+'6b.számú melléklet(2)'!B33)</f>
        <v>744329</v>
      </c>
      <c r="F33" s="150"/>
      <c r="G33" s="150"/>
    </row>
    <row r="34" spans="1:7" ht="12.75">
      <c r="A34" s="483" t="s">
        <v>793</v>
      </c>
      <c r="B34" s="65">
        <v>92675</v>
      </c>
      <c r="C34" s="65"/>
      <c r="D34" s="65"/>
      <c r="E34" s="150">
        <f>SUM('6b.számú melléklet(1)'!B34,'6b.számú melléklet(1)'!E34,'6b.számú melléklet(1)'!H34+'6b.számú melléklet(2)'!B34)</f>
        <v>152185</v>
      </c>
      <c r="F34" s="150"/>
      <c r="G34" s="150"/>
    </row>
    <row r="35" spans="1:7" ht="13.5">
      <c r="A35" s="358" t="s">
        <v>722</v>
      </c>
      <c r="B35" s="640">
        <f>SUM(B23:B33)</f>
        <v>286687</v>
      </c>
      <c r="C35" s="640"/>
      <c r="D35" s="640"/>
      <c r="E35" s="526">
        <f>SUM('6b.számú melléklet(1)'!B35,'6b.számú melléklet(1)'!E35,'6b.számú melléklet(1)'!H35+'6b.számú melléklet(2)'!B35)</f>
        <v>1639846</v>
      </c>
      <c r="F35" s="526"/>
      <c r="G35" s="526"/>
    </row>
    <row r="36" spans="1:7" ht="12.75">
      <c r="A36" s="33"/>
      <c r="B36" s="33"/>
      <c r="C36" s="33"/>
      <c r="D36" s="33"/>
      <c r="E36" s="194"/>
      <c r="F36" s="33"/>
      <c r="G36" s="33"/>
    </row>
    <row r="37" spans="1:7" ht="12.75">
      <c r="A37" s="33"/>
      <c r="B37" s="33"/>
      <c r="C37" s="33"/>
      <c r="D37" s="33"/>
      <c r="E37" s="194"/>
      <c r="F37" s="33"/>
      <c r="G37" s="33"/>
    </row>
    <row r="38" spans="1:7" ht="12.75">
      <c r="A38" s="33"/>
      <c r="B38" s="33"/>
      <c r="C38" s="33"/>
      <c r="D38" s="33"/>
      <c r="E38" s="194"/>
      <c r="F38" s="33"/>
      <c r="G38" s="33"/>
    </row>
    <row r="39" spans="1:7" ht="12.75">
      <c r="A39" s="33"/>
      <c r="B39" s="33"/>
      <c r="C39" s="33"/>
      <c r="D39" s="33"/>
      <c r="E39" s="194"/>
      <c r="F39" s="33"/>
      <c r="G39" s="33"/>
    </row>
    <row r="40" spans="1:7" ht="12.75">
      <c r="A40" s="33"/>
      <c r="B40" s="33"/>
      <c r="C40" s="33"/>
      <c r="D40" s="33"/>
      <c r="E40" s="194"/>
      <c r="F40" s="33"/>
      <c r="G40" s="33"/>
    </row>
    <row r="41" spans="1:7" ht="12.75">
      <c r="A41" s="33"/>
      <c r="B41" s="33"/>
      <c r="C41" s="33"/>
      <c r="D41" s="33"/>
      <c r="E41" s="194"/>
      <c r="F41" s="33"/>
      <c r="G41" s="33"/>
    </row>
    <row r="42" spans="1:7" ht="12.75">
      <c r="A42" s="33"/>
      <c r="B42" s="33"/>
      <c r="C42" s="33"/>
      <c r="D42" s="33"/>
      <c r="E42" s="194"/>
      <c r="F42" s="33"/>
      <c r="G42" s="33"/>
    </row>
    <row r="43" spans="1:7" ht="12.75">
      <c r="A43" s="33"/>
      <c r="B43" s="33"/>
      <c r="C43" s="33"/>
      <c r="D43" s="33"/>
      <c r="E43" s="194"/>
      <c r="F43" s="33"/>
      <c r="G43" s="33"/>
    </row>
    <row r="44" spans="1:7" ht="12.75">
      <c r="A44" s="33"/>
      <c r="B44" s="33"/>
      <c r="C44" s="33"/>
      <c r="D44" s="33"/>
      <c r="E44" s="194"/>
      <c r="F44" s="33"/>
      <c r="G44" s="33"/>
    </row>
    <row r="45" spans="1:7" ht="12.75">
      <c r="A45" s="33"/>
      <c r="B45" s="33"/>
      <c r="C45" s="33"/>
      <c r="D45" s="33"/>
      <c r="E45" s="194"/>
      <c r="F45" s="33"/>
      <c r="G45" s="33"/>
    </row>
    <row r="46" spans="1:7" ht="12.75">
      <c r="A46" s="33"/>
      <c r="B46" s="33"/>
      <c r="C46" s="33"/>
      <c r="D46" s="33"/>
      <c r="E46" s="194"/>
      <c r="F46" s="33"/>
      <c r="G46" s="33"/>
    </row>
  </sheetData>
  <mergeCells count="2">
    <mergeCell ref="B6:D6"/>
    <mergeCell ref="E6:G6"/>
  </mergeCells>
  <printOptions horizontalCentered="1" verticalCentered="1"/>
  <pageMargins left="0" right="0" top="0.11811023622047245" bottom="0" header="0.31496062992125984" footer="0"/>
  <pageSetup fitToHeight="1" fitToWidth="1" horizontalDpi="300" verticalDpi="300" orientation="landscape" paperSize="9" r:id="rId1"/>
  <headerFooter alignWithMargins="0">
    <oddHeader>&amp;C2&amp;R&amp;"Times New Roman CE,Normál"6/b.számú melléklet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2:Q30"/>
  <sheetViews>
    <sheetView workbookViewId="0" topLeftCell="A1">
      <selection activeCell="A25" sqref="A25"/>
    </sheetView>
  </sheetViews>
  <sheetFormatPr defaultColWidth="9.140625" defaultRowHeight="12.75"/>
  <cols>
    <col min="1" max="1" width="23.8515625" style="27" customWidth="1"/>
    <col min="2" max="2" width="7.7109375" style="27" customWidth="1"/>
    <col min="3" max="4" width="7.8515625" style="27" customWidth="1"/>
    <col min="5" max="7" width="8.8515625" style="27" customWidth="1"/>
    <col min="8" max="8" width="8.57421875" style="27" customWidth="1"/>
    <col min="9" max="9" width="8.28125" style="27" customWidth="1"/>
    <col min="10" max="11" width="7.140625" style="27" customWidth="1"/>
    <col min="12" max="12" width="8.421875" style="27" customWidth="1"/>
    <col min="13" max="13" width="8.28125" style="27" customWidth="1"/>
    <col min="14" max="14" width="6.8515625" style="27" customWidth="1"/>
    <col min="15" max="15" width="7.8515625" style="27" customWidth="1"/>
    <col min="16" max="16" width="8.57421875" style="27" customWidth="1"/>
  </cols>
  <sheetData>
    <row r="2" spans="1:16" ht="15.75">
      <c r="A2" s="1375" t="s">
        <v>426</v>
      </c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</row>
    <row r="3" spans="1:16" ht="15.75">
      <c r="A3" s="26" t="s">
        <v>570</v>
      </c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</row>
    <row r="4" ht="12.75">
      <c r="A4" s="810"/>
    </row>
    <row r="5" spans="1:16" ht="15.75">
      <c r="A5" s="811" t="s">
        <v>264</v>
      </c>
      <c r="P5" s="1209" t="s">
        <v>128</v>
      </c>
    </row>
    <row r="6" spans="1:17" ht="48.75" customHeight="1">
      <c r="A6" s="812" t="s">
        <v>129</v>
      </c>
      <c r="B6" s="812" t="s">
        <v>460</v>
      </c>
      <c r="C6" s="812" t="s">
        <v>265</v>
      </c>
      <c r="D6" s="812" t="s">
        <v>462</v>
      </c>
      <c r="E6" s="812" t="s">
        <v>266</v>
      </c>
      <c r="F6" s="812" t="s">
        <v>571</v>
      </c>
      <c r="G6" s="812" t="s">
        <v>83</v>
      </c>
      <c r="H6" s="812" t="s">
        <v>267</v>
      </c>
      <c r="I6" s="812" t="s">
        <v>200</v>
      </c>
      <c r="J6" s="812" t="s">
        <v>268</v>
      </c>
      <c r="K6" s="812" t="s">
        <v>340</v>
      </c>
      <c r="L6" s="812" t="s">
        <v>269</v>
      </c>
      <c r="M6" s="812" t="s">
        <v>270</v>
      </c>
      <c r="N6" s="812" t="s">
        <v>271</v>
      </c>
      <c r="O6" s="812" t="s">
        <v>272</v>
      </c>
      <c r="P6" s="813" t="s">
        <v>273</v>
      </c>
      <c r="Q6" s="814"/>
    </row>
    <row r="7" spans="1:16" s="328" customFormat="1" ht="12">
      <c r="A7" s="353" t="s">
        <v>463</v>
      </c>
      <c r="B7" s="1198">
        <v>3375162</v>
      </c>
      <c r="C7" s="1198">
        <v>1082075</v>
      </c>
      <c r="D7" s="1198">
        <v>1228810</v>
      </c>
      <c r="E7" s="1198">
        <v>0</v>
      </c>
      <c r="F7" s="1198">
        <v>0</v>
      </c>
      <c r="G7" s="1198">
        <v>0</v>
      </c>
      <c r="H7" s="1198">
        <f>SUM(B7:G7)</f>
        <v>5686047</v>
      </c>
      <c r="I7" s="1198">
        <v>5000</v>
      </c>
      <c r="J7" s="1198">
        <v>0</v>
      </c>
      <c r="K7" s="1198">
        <v>0</v>
      </c>
      <c r="L7" s="1198">
        <v>0</v>
      </c>
      <c r="M7" s="1198">
        <v>0</v>
      </c>
      <c r="N7" s="1198">
        <v>0</v>
      </c>
      <c r="O7" s="1198">
        <v>0</v>
      </c>
      <c r="P7" s="1199">
        <f aca="true" t="shared" si="0" ref="P7:P15">SUM(H7:O7)</f>
        <v>5691047</v>
      </c>
    </row>
    <row r="8" spans="1:16" s="441" customFormat="1" ht="24">
      <c r="A8" s="423" t="s">
        <v>519</v>
      </c>
      <c r="B8" s="1200">
        <v>340024</v>
      </c>
      <c r="C8" s="1200">
        <v>107914</v>
      </c>
      <c r="D8" s="1200">
        <v>127249</v>
      </c>
      <c r="E8" s="1200">
        <v>0</v>
      </c>
      <c r="F8" s="1200">
        <v>0</v>
      </c>
      <c r="G8" s="1200">
        <v>0</v>
      </c>
      <c r="H8" s="1198">
        <f aca="true" t="shared" si="1" ref="H8:H15">SUM(B8:G8)</f>
        <v>575187</v>
      </c>
      <c r="I8" s="1200">
        <v>0</v>
      </c>
      <c r="J8" s="1200">
        <v>0</v>
      </c>
      <c r="K8" s="1200">
        <v>0</v>
      </c>
      <c r="L8" s="1200">
        <v>0</v>
      </c>
      <c r="M8" s="1200">
        <v>0</v>
      </c>
      <c r="N8" s="1200">
        <v>0</v>
      </c>
      <c r="O8" s="1200">
        <v>0</v>
      </c>
      <c r="P8" s="1201">
        <f t="shared" si="0"/>
        <v>575187</v>
      </c>
    </row>
    <row r="9" spans="1:16" s="328" customFormat="1" ht="12">
      <c r="A9" s="353" t="s">
        <v>523</v>
      </c>
      <c r="B9" s="1198">
        <v>839704</v>
      </c>
      <c r="C9" s="1198">
        <v>267104</v>
      </c>
      <c r="D9" s="1198">
        <v>522859</v>
      </c>
      <c r="E9" s="1198">
        <v>1179</v>
      </c>
      <c r="F9" s="1198">
        <v>0</v>
      </c>
      <c r="G9" s="1198">
        <v>0</v>
      </c>
      <c r="H9" s="1198">
        <f t="shared" si="1"/>
        <v>1630846</v>
      </c>
      <c r="I9" s="1198">
        <v>9000</v>
      </c>
      <c r="J9" s="1198">
        <v>0</v>
      </c>
      <c r="K9" s="1198">
        <v>0</v>
      </c>
      <c r="L9" s="1198">
        <v>0</v>
      </c>
      <c r="M9" s="1198">
        <v>0</v>
      </c>
      <c r="N9" s="1198">
        <v>0</v>
      </c>
      <c r="O9" s="1198">
        <v>0</v>
      </c>
      <c r="P9" s="1199">
        <f t="shared" si="0"/>
        <v>1639846</v>
      </c>
    </row>
    <row r="10" spans="1:16" s="328" customFormat="1" ht="12">
      <c r="A10" s="353" t="s">
        <v>549</v>
      </c>
      <c r="B10" s="1198">
        <v>193506</v>
      </c>
      <c r="C10" s="1198">
        <v>62177</v>
      </c>
      <c r="D10" s="1198">
        <v>89898</v>
      </c>
      <c r="E10" s="1198">
        <v>0</v>
      </c>
      <c r="F10" s="1198">
        <v>0</v>
      </c>
      <c r="G10" s="1198">
        <v>0</v>
      </c>
      <c r="H10" s="1198">
        <f t="shared" si="1"/>
        <v>345581</v>
      </c>
      <c r="I10" s="1198">
        <v>0</v>
      </c>
      <c r="J10" s="1198">
        <v>0</v>
      </c>
      <c r="K10" s="1198">
        <v>0</v>
      </c>
      <c r="L10" s="1198">
        <v>0</v>
      </c>
      <c r="M10" s="1198">
        <v>0</v>
      </c>
      <c r="N10" s="1198">
        <v>0</v>
      </c>
      <c r="O10" s="1198">
        <v>0</v>
      </c>
      <c r="P10" s="1199">
        <f t="shared" si="0"/>
        <v>345581</v>
      </c>
    </row>
    <row r="11" spans="1:16" s="328" customFormat="1" ht="12">
      <c r="A11" s="353" t="s">
        <v>761</v>
      </c>
      <c r="B11" s="1198">
        <v>138357</v>
      </c>
      <c r="C11" s="1198">
        <v>44375</v>
      </c>
      <c r="D11" s="1198">
        <v>46003</v>
      </c>
      <c r="E11" s="1198">
        <v>0</v>
      </c>
      <c r="F11" s="1198">
        <v>0</v>
      </c>
      <c r="G11" s="1198">
        <v>0</v>
      </c>
      <c r="H11" s="1198">
        <f t="shared" si="1"/>
        <v>228735</v>
      </c>
      <c r="I11" s="1198">
        <v>0</v>
      </c>
      <c r="J11" s="1198">
        <v>0</v>
      </c>
      <c r="K11" s="1198">
        <v>0</v>
      </c>
      <c r="L11" s="1198">
        <v>0</v>
      </c>
      <c r="M11" s="1198">
        <v>0</v>
      </c>
      <c r="N11" s="1198">
        <v>0</v>
      </c>
      <c r="O11" s="1198">
        <v>0</v>
      </c>
      <c r="P11" s="1199">
        <f t="shared" si="0"/>
        <v>228735</v>
      </c>
    </row>
    <row r="12" spans="1:16" s="328" customFormat="1" ht="12">
      <c r="A12" s="353" t="s">
        <v>550</v>
      </c>
      <c r="B12" s="1198">
        <v>124221</v>
      </c>
      <c r="C12" s="1198">
        <v>40072</v>
      </c>
      <c r="D12" s="1198">
        <v>34221</v>
      </c>
      <c r="E12" s="1198">
        <v>0</v>
      </c>
      <c r="F12" s="1198">
        <v>0</v>
      </c>
      <c r="G12" s="1198">
        <v>0</v>
      </c>
      <c r="H12" s="1198">
        <f t="shared" si="1"/>
        <v>198514</v>
      </c>
      <c r="I12" s="1198">
        <v>0</v>
      </c>
      <c r="J12" s="1198">
        <v>0</v>
      </c>
      <c r="K12" s="1198">
        <v>0</v>
      </c>
      <c r="L12" s="1198">
        <v>0</v>
      </c>
      <c r="M12" s="1198">
        <v>0</v>
      </c>
      <c r="N12" s="1198">
        <v>0</v>
      </c>
      <c r="O12" s="1198">
        <v>0</v>
      </c>
      <c r="P12" s="1199">
        <f t="shared" si="0"/>
        <v>198514</v>
      </c>
    </row>
    <row r="13" spans="1:16" s="328" customFormat="1" ht="12">
      <c r="A13" s="353" t="s">
        <v>551</v>
      </c>
      <c r="B13" s="1198">
        <v>23861</v>
      </c>
      <c r="C13" s="1198">
        <v>7643</v>
      </c>
      <c r="D13" s="1198">
        <v>10939</v>
      </c>
      <c r="E13" s="1198">
        <v>0</v>
      </c>
      <c r="F13" s="1198">
        <v>0</v>
      </c>
      <c r="G13" s="1198">
        <v>0</v>
      </c>
      <c r="H13" s="1198">
        <f t="shared" si="1"/>
        <v>42443</v>
      </c>
      <c r="I13" s="1198">
        <v>0</v>
      </c>
      <c r="J13" s="1198">
        <v>0</v>
      </c>
      <c r="K13" s="1198">
        <v>0</v>
      </c>
      <c r="L13" s="1198">
        <v>0</v>
      </c>
      <c r="M13" s="1198">
        <v>0</v>
      </c>
      <c r="N13" s="1198">
        <v>0</v>
      </c>
      <c r="O13" s="1198">
        <v>0</v>
      </c>
      <c r="P13" s="1199">
        <f t="shared" si="0"/>
        <v>42443</v>
      </c>
    </row>
    <row r="14" spans="1:16" s="328" customFormat="1" ht="12">
      <c r="A14" s="353" t="s">
        <v>763</v>
      </c>
      <c r="B14" s="1198">
        <v>25953</v>
      </c>
      <c r="C14" s="1198">
        <v>8154</v>
      </c>
      <c r="D14" s="1198">
        <v>25205</v>
      </c>
      <c r="E14" s="1198">
        <v>0</v>
      </c>
      <c r="F14" s="1198">
        <v>0</v>
      </c>
      <c r="G14" s="1198">
        <v>0</v>
      </c>
      <c r="H14" s="1198">
        <f t="shared" si="1"/>
        <v>59312</v>
      </c>
      <c r="I14" s="1198">
        <v>0</v>
      </c>
      <c r="J14" s="1198">
        <v>0</v>
      </c>
      <c r="K14" s="1198">
        <v>0</v>
      </c>
      <c r="L14" s="1198">
        <v>0</v>
      </c>
      <c r="M14" s="1198">
        <v>0</v>
      </c>
      <c r="N14" s="1198">
        <v>0</v>
      </c>
      <c r="O14" s="1198">
        <v>0</v>
      </c>
      <c r="P14" s="1199">
        <f t="shared" si="0"/>
        <v>59312</v>
      </c>
    </row>
    <row r="15" spans="1:16" s="328" customFormat="1" ht="12">
      <c r="A15" s="353" t="s">
        <v>764</v>
      </c>
      <c r="B15" s="1198">
        <v>872096</v>
      </c>
      <c r="C15" s="1198">
        <v>282144</v>
      </c>
      <c r="D15" s="1198">
        <v>2520746</v>
      </c>
      <c r="E15" s="1198">
        <v>454300</v>
      </c>
      <c r="F15" s="1198">
        <v>527056</v>
      </c>
      <c r="G15" s="1198">
        <v>29515</v>
      </c>
      <c r="H15" s="1198">
        <f t="shared" si="1"/>
        <v>4685857</v>
      </c>
      <c r="I15" s="1198">
        <v>60536</v>
      </c>
      <c r="J15" s="1198">
        <v>89430</v>
      </c>
      <c r="K15" s="1198">
        <v>220052</v>
      </c>
      <c r="L15" s="1198">
        <v>151410</v>
      </c>
      <c r="M15" s="1198">
        <v>8125</v>
      </c>
      <c r="N15" s="1198">
        <v>145064</v>
      </c>
      <c r="O15" s="1198">
        <v>2629230</v>
      </c>
      <c r="P15" s="1199">
        <f t="shared" si="0"/>
        <v>7989704</v>
      </c>
    </row>
    <row r="16" spans="1:16" s="337" customFormat="1" ht="12">
      <c r="A16" s="351" t="s">
        <v>274</v>
      </c>
      <c r="B16" s="1199">
        <f aca="true" t="shared" si="2" ref="B16:P16">SUM(B7:B15)</f>
        <v>5932884</v>
      </c>
      <c r="C16" s="1199">
        <f t="shared" si="2"/>
        <v>1901658</v>
      </c>
      <c r="D16" s="1199">
        <f t="shared" si="2"/>
        <v>4605930</v>
      </c>
      <c r="E16" s="1199">
        <f t="shared" si="2"/>
        <v>455479</v>
      </c>
      <c r="F16" s="1199">
        <f t="shared" si="2"/>
        <v>527056</v>
      </c>
      <c r="G16" s="1199">
        <f t="shared" si="2"/>
        <v>29515</v>
      </c>
      <c r="H16" s="1199">
        <f t="shared" si="2"/>
        <v>13452522</v>
      </c>
      <c r="I16" s="1199">
        <f t="shared" si="2"/>
        <v>74536</v>
      </c>
      <c r="J16" s="1199">
        <f t="shared" si="2"/>
        <v>89430</v>
      </c>
      <c r="K16" s="1199">
        <f t="shared" si="2"/>
        <v>220052</v>
      </c>
      <c r="L16" s="1199">
        <f t="shared" si="2"/>
        <v>151410</v>
      </c>
      <c r="M16" s="1199">
        <f t="shared" si="2"/>
        <v>8125</v>
      </c>
      <c r="N16" s="1199">
        <f t="shared" si="2"/>
        <v>145064</v>
      </c>
      <c r="O16" s="1199">
        <f t="shared" si="2"/>
        <v>2629230</v>
      </c>
      <c r="P16" s="1199">
        <f t="shared" si="2"/>
        <v>16770369</v>
      </c>
    </row>
    <row r="17" spans="1:16" s="1" customFormat="1" ht="12.75">
      <c r="A17" s="1206"/>
      <c r="B17" s="1208"/>
      <c r="C17" s="1208"/>
      <c r="D17" s="1208"/>
      <c r="E17" s="1208"/>
      <c r="F17" s="1208"/>
      <c r="G17" s="1208"/>
      <c r="H17" s="1208"/>
      <c r="I17" s="1208"/>
      <c r="J17" s="1208"/>
      <c r="K17" s="1208"/>
      <c r="L17" s="1208"/>
      <c r="M17" s="1208"/>
      <c r="N17" s="1208"/>
      <c r="O17" s="1208"/>
      <c r="P17" s="1208"/>
    </row>
    <row r="18" spans="1:16" s="1" customFormat="1" ht="12.75">
      <c r="A18" s="1206"/>
      <c r="B18" s="1208"/>
      <c r="C18" s="1208"/>
      <c r="D18" s="1208"/>
      <c r="E18" s="1208"/>
      <c r="F18" s="1208"/>
      <c r="G18" s="1208"/>
      <c r="H18" s="1208"/>
      <c r="I18" s="1208"/>
      <c r="J18" s="1208"/>
      <c r="K18" s="1208"/>
      <c r="L18" s="1208"/>
      <c r="M18" s="1208"/>
      <c r="N18" s="1208"/>
      <c r="O18" s="1208"/>
      <c r="P18" s="1208"/>
    </row>
    <row r="19" spans="1:16" ht="15.75">
      <c r="A19" s="811" t="s">
        <v>275</v>
      </c>
      <c r="B19" s="1209"/>
      <c r="C19" s="1209"/>
      <c r="D19" s="1209"/>
      <c r="E19" s="1209"/>
      <c r="F19" s="1209"/>
      <c r="G19" s="1209"/>
      <c r="H19" s="1209"/>
      <c r="I19" s="1209"/>
      <c r="J19" s="1209"/>
      <c r="K19" s="1209"/>
      <c r="L19" s="1209"/>
      <c r="M19" s="1209"/>
      <c r="N19" s="1209"/>
      <c r="O19" s="1209"/>
      <c r="P19" s="1209" t="s">
        <v>128</v>
      </c>
    </row>
    <row r="20" spans="1:16" ht="49.5" customHeight="1">
      <c r="A20" s="1207" t="s">
        <v>129</v>
      </c>
      <c r="B20" s="812" t="s">
        <v>276</v>
      </c>
      <c r="C20" s="812" t="s">
        <v>758</v>
      </c>
      <c r="D20" s="812" t="s">
        <v>718</v>
      </c>
      <c r="E20" s="812" t="s">
        <v>757</v>
      </c>
      <c r="F20" s="812" t="s">
        <v>277</v>
      </c>
      <c r="G20" s="812" t="s">
        <v>278</v>
      </c>
      <c r="H20" s="812" t="s">
        <v>572</v>
      </c>
      <c r="I20" s="812" t="s">
        <v>505</v>
      </c>
      <c r="J20" s="812" t="s">
        <v>279</v>
      </c>
      <c r="K20" s="812" t="s">
        <v>280</v>
      </c>
      <c r="L20" s="812" t="s">
        <v>281</v>
      </c>
      <c r="M20" s="812" t="s">
        <v>282</v>
      </c>
      <c r="N20" s="812" t="s">
        <v>283</v>
      </c>
      <c r="O20" s="812" t="s">
        <v>284</v>
      </c>
      <c r="P20" s="813" t="s">
        <v>776</v>
      </c>
    </row>
    <row r="21" spans="1:16" s="328" customFormat="1" ht="12">
      <c r="A21" s="353" t="s">
        <v>463</v>
      </c>
      <c r="B21" s="1198">
        <v>313185</v>
      </c>
      <c r="C21" s="1198">
        <v>0</v>
      </c>
      <c r="D21" s="1198">
        <v>0</v>
      </c>
      <c r="E21" s="1198">
        <v>0</v>
      </c>
      <c r="F21" s="1198">
        <v>0</v>
      </c>
      <c r="G21" s="1198"/>
      <c r="H21" s="1198">
        <v>0</v>
      </c>
      <c r="I21" s="1198">
        <v>0</v>
      </c>
      <c r="J21" s="1198">
        <v>0</v>
      </c>
      <c r="K21" s="1198">
        <v>0</v>
      </c>
      <c r="L21" s="1198">
        <v>0</v>
      </c>
      <c r="M21" s="1198">
        <v>5377862</v>
      </c>
      <c r="N21" s="1198">
        <v>0</v>
      </c>
      <c r="O21" s="1198">
        <v>0</v>
      </c>
      <c r="P21" s="1210">
        <f aca="true" t="shared" si="3" ref="P21:P29">SUM(B21:O21)</f>
        <v>5691047</v>
      </c>
    </row>
    <row r="22" spans="1:16" s="441" customFormat="1" ht="24">
      <c r="A22" s="423" t="s">
        <v>519</v>
      </c>
      <c r="B22" s="1200">
        <v>55830</v>
      </c>
      <c r="C22" s="1200">
        <v>0</v>
      </c>
      <c r="D22" s="1200">
        <v>0</v>
      </c>
      <c r="E22" s="1200">
        <v>0</v>
      </c>
      <c r="F22" s="1200">
        <v>0</v>
      </c>
      <c r="G22" s="1200"/>
      <c r="H22" s="1200">
        <v>0</v>
      </c>
      <c r="I22" s="1200">
        <v>0</v>
      </c>
      <c r="J22" s="1200">
        <v>0</v>
      </c>
      <c r="K22" s="1200">
        <v>0</v>
      </c>
      <c r="L22" s="1200">
        <v>0</v>
      </c>
      <c r="M22" s="1200">
        <v>519357</v>
      </c>
      <c r="N22" s="1200">
        <v>0</v>
      </c>
      <c r="O22" s="1200">
        <v>0</v>
      </c>
      <c r="P22" s="1211">
        <f t="shared" si="3"/>
        <v>575187</v>
      </c>
    </row>
    <row r="23" spans="1:16" s="328" customFormat="1" ht="12">
      <c r="A23" s="353" t="s">
        <v>523</v>
      </c>
      <c r="B23" s="1198">
        <v>92453</v>
      </c>
      <c r="C23" s="1198">
        <v>0</v>
      </c>
      <c r="D23" s="1198">
        <v>0</v>
      </c>
      <c r="E23" s="1198">
        <v>0</v>
      </c>
      <c r="F23" s="1198">
        <v>0</v>
      </c>
      <c r="G23" s="1198"/>
      <c r="H23" s="1198">
        <v>803064</v>
      </c>
      <c r="I23" s="1198">
        <v>0</v>
      </c>
      <c r="J23" s="1198">
        <v>0</v>
      </c>
      <c r="K23" s="1198"/>
      <c r="L23" s="1198">
        <v>0</v>
      </c>
      <c r="M23" s="1198">
        <v>744329</v>
      </c>
      <c r="N23" s="1198">
        <v>0</v>
      </c>
      <c r="O23" s="1198">
        <v>0</v>
      </c>
      <c r="P23" s="1210">
        <f t="shared" si="3"/>
        <v>1639846</v>
      </c>
    </row>
    <row r="24" spans="1:16" s="328" customFormat="1" ht="12">
      <c r="A24" s="353" t="s">
        <v>549</v>
      </c>
      <c r="B24" s="1198">
        <v>28476</v>
      </c>
      <c r="C24" s="1198">
        <v>0</v>
      </c>
      <c r="D24" s="1198">
        <v>0</v>
      </c>
      <c r="E24" s="1198">
        <v>0</v>
      </c>
      <c r="F24" s="1198">
        <v>0</v>
      </c>
      <c r="G24" s="1198"/>
      <c r="H24" s="1198">
        <v>0</v>
      </c>
      <c r="I24" s="1198">
        <v>0</v>
      </c>
      <c r="J24" s="1198">
        <v>0</v>
      </c>
      <c r="K24" s="1198">
        <v>0</v>
      </c>
      <c r="L24" s="1198">
        <v>0</v>
      </c>
      <c r="M24" s="1198">
        <v>317105</v>
      </c>
      <c r="N24" s="1198">
        <v>0</v>
      </c>
      <c r="O24" s="1198">
        <v>0</v>
      </c>
      <c r="P24" s="1210">
        <f t="shared" si="3"/>
        <v>345581</v>
      </c>
    </row>
    <row r="25" spans="1:16" s="328" customFormat="1" ht="12">
      <c r="A25" s="353" t="s">
        <v>761</v>
      </c>
      <c r="B25" s="1198">
        <v>12199</v>
      </c>
      <c r="C25" s="1198">
        <v>0</v>
      </c>
      <c r="D25" s="1198">
        <v>0</v>
      </c>
      <c r="E25" s="1198">
        <v>0</v>
      </c>
      <c r="F25" s="1198">
        <v>0</v>
      </c>
      <c r="G25" s="1198"/>
      <c r="H25" s="1198"/>
      <c r="I25" s="1198">
        <v>258</v>
      </c>
      <c r="J25" s="1198">
        <v>0</v>
      </c>
      <c r="K25" s="1198">
        <v>0</v>
      </c>
      <c r="L25" s="1198">
        <v>0</v>
      </c>
      <c r="M25" s="1198">
        <v>216278</v>
      </c>
      <c r="N25" s="1198">
        <v>0</v>
      </c>
      <c r="O25" s="1198">
        <v>0</v>
      </c>
      <c r="P25" s="1210">
        <f t="shared" si="3"/>
        <v>228735</v>
      </c>
    </row>
    <row r="26" spans="1:16" s="328" customFormat="1" ht="12">
      <c r="A26" s="353" t="s">
        <v>550</v>
      </c>
      <c r="B26" s="1198">
        <v>7866</v>
      </c>
      <c r="C26" s="1198">
        <v>0</v>
      </c>
      <c r="D26" s="1198">
        <v>0</v>
      </c>
      <c r="E26" s="1198">
        <v>0</v>
      </c>
      <c r="F26" s="1198">
        <v>0</v>
      </c>
      <c r="G26" s="1198"/>
      <c r="H26" s="1198">
        <v>0</v>
      </c>
      <c r="I26" s="1198">
        <v>0</v>
      </c>
      <c r="J26" s="1198">
        <v>0</v>
      </c>
      <c r="K26" s="1198">
        <v>0</v>
      </c>
      <c r="L26" s="1198">
        <v>0</v>
      </c>
      <c r="M26" s="1198">
        <v>190648</v>
      </c>
      <c r="N26" s="1198">
        <v>0</v>
      </c>
      <c r="O26" s="1198">
        <v>0</v>
      </c>
      <c r="P26" s="1210">
        <f t="shared" si="3"/>
        <v>198514</v>
      </c>
    </row>
    <row r="27" spans="1:16" s="328" customFormat="1" ht="12">
      <c r="A27" s="353" t="s">
        <v>551</v>
      </c>
      <c r="B27" s="1198">
        <v>10117</v>
      </c>
      <c r="C27" s="1198">
        <v>0</v>
      </c>
      <c r="D27" s="1198">
        <v>0</v>
      </c>
      <c r="E27" s="1198">
        <v>0</v>
      </c>
      <c r="F27" s="1198">
        <v>0</v>
      </c>
      <c r="G27" s="1198"/>
      <c r="H27" s="1198">
        <v>0</v>
      </c>
      <c r="I27" s="1198">
        <v>0</v>
      </c>
      <c r="J27" s="1198">
        <v>0</v>
      </c>
      <c r="K27" s="1198">
        <v>0</v>
      </c>
      <c r="L27" s="1198">
        <v>0</v>
      </c>
      <c r="M27" s="1198">
        <v>32326</v>
      </c>
      <c r="N27" s="1198">
        <v>0</v>
      </c>
      <c r="O27" s="1198">
        <v>0</v>
      </c>
      <c r="P27" s="1210">
        <f t="shared" si="3"/>
        <v>42443</v>
      </c>
    </row>
    <row r="28" spans="1:16" s="328" customFormat="1" ht="12">
      <c r="A28" s="353" t="s">
        <v>763</v>
      </c>
      <c r="B28" s="1198">
        <v>18113</v>
      </c>
      <c r="C28" s="1198">
        <v>0</v>
      </c>
      <c r="D28" s="1198">
        <v>0</v>
      </c>
      <c r="E28" s="1198">
        <v>0</v>
      </c>
      <c r="F28" s="1198">
        <v>0</v>
      </c>
      <c r="G28" s="1198"/>
      <c r="H28" s="1198">
        <v>0</v>
      </c>
      <c r="I28" s="1198">
        <v>0</v>
      </c>
      <c r="J28" s="1198">
        <v>0</v>
      </c>
      <c r="K28" s="1198">
        <v>0</v>
      </c>
      <c r="L28" s="1198">
        <v>0</v>
      </c>
      <c r="M28" s="1198">
        <v>41199</v>
      </c>
      <c r="N28" s="1198">
        <v>0</v>
      </c>
      <c r="O28" s="1198">
        <v>0</v>
      </c>
      <c r="P28" s="1210">
        <f t="shared" si="3"/>
        <v>59312</v>
      </c>
    </row>
    <row r="29" spans="1:16" s="328" customFormat="1" ht="12">
      <c r="A29" s="353" t="s">
        <v>764</v>
      </c>
      <c r="B29" s="1198">
        <v>607232</v>
      </c>
      <c r="C29" s="1198">
        <v>5464408</v>
      </c>
      <c r="D29" s="1198">
        <v>1741289</v>
      </c>
      <c r="E29" s="1198">
        <v>0</v>
      </c>
      <c r="F29" s="1198">
        <v>636500</v>
      </c>
      <c r="G29" s="1198">
        <v>2684721</v>
      </c>
      <c r="H29" s="1198">
        <v>116969</v>
      </c>
      <c r="I29" s="1198">
        <v>0</v>
      </c>
      <c r="J29" s="1198">
        <v>259276</v>
      </c>
      <c r="K29" s="1198">
        <v>116752</v>
      </c>
      <c r="L29" s="1198">
        <v>22309</v>
      </c>
      <c r="M29" s="1198">
        <v>-7439104</v>
      </c>
      <c r="N29" s="1198">
        <v>0</v>
      </c>
      <c r="O29" s="1198">
        <v>3779352</v>
      </c>
      <c r="P29" s="1210">
        <f t="shared" si="3"/>
        <v>7989704</v>
      </c>
    </row>
    <row r="30" spans="1:16" s="328" customFormat="1" ht="12">
      <c r="A30" s="351" t="s">
        <v>274</v>
      </c>
      <c r="B30" s="1199">
        <f aca="true" t="shared" si="4" ref="B30:P30">SUM(B21:B29)</f>
        <v>1145471</v>
      </c>
      <c r="C30" s="1199">
        <f t="shared" si="4"/>
        <v>5464408</v>
      </c>
      <c r="D30" s="1199">
        <f t="shared" si="4"/>
        <v>1741289</v>
      </c>
      <c r="E30" s="1199">
        <f t="shared" si="4"/>
        <v>0</v>
      </c>
      <c r="F30" s="1199">
        <f t="shared" si="4"/>
        <v>636500</v>
      </c>
      <c r="G30" s="1199">
        <f t="shared" si="4"/>
        <v>2684721</v>
      </c>
      <c r="H30" s="1199">
        <f t="shared" si="4"/>
        <v>920033</v>
      </c>
      <c r="I30" s="1199">
        <f t="shared" si="4"/>
        <v>258</v>
      </c>
      <c r="J30" s="1199">
        <f t="shared" si="4"/>
        <v>259276</v>
      </c>
      <c r="K30" s="1199">
        <f t="shared" si="4"/>
        <v>116752</v>
      </c>
      <c r="L30" s="1199">
        <f t="shared" si="4"/>
        <v>22309</v>
      </c>
      <c r="M30" s="1199">
        <f t="shared" si="4"/>
        <v>0</v>
      </c>
      <c r="N30" s="1199">
        <f t="shared" si="4"/>
        <v>0</v>
      </c>
      <c r="O30" s="1199">
        <f t="shared" si="4"/>
        <v>3779352</v>
      </c>
      <c r="P30" s="1199">
        <f t="shared" si="4"/>
        <v>16770369</v>
      </c>
    </row>
  </sheetData>
  <mergeCells count="1">
    <mergeCell ref="A2:P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  <headerFooter alignWithMargins="0">
    <oddHeader>&amp;R&amp;"Times New Roman CE,Normál"7.számú melléklet</oddHeader>
    <oddFooter>&amp;L&amp;"Times New Roman CE,Normál\&amp;8&amp;F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2">
      <pane ySplit="3" topLeftCell="BM26" activePane="bottomLeft" state="frozen"/>
      <selection pane="topLeft" activeCell="A2" sqref="A2"/>
      <selection pane="bottomLeft" activeCell="A36" sqref="A36"/>
    </sheetView>
  </sheetViews>
  <sheetFormatPr defaultColWidth="9.140625" defaultRowHeight="12.75"/>
  <cols>
    <col min="1" max="1" width="24.7109375" style="821" bestFit="1" customWidth="1"/>
    <col min="2" max="2" width="8.7109375" style="854" customWidth="1"/>
    <col min="3" max="3" width="8.140625" style="821" customWidth="1"/>
    <col min="4" max="4" width="7.8515625" style="821" customWidth="1"/>
    <col min="5" max="6" width="8.28125" style="821" customWidth="1"/>
    <col min="7" max="7" width="8.00390625" style="821" customWidth="1"/>
    <col min="8" max="8" width="8.140625" style="821" customWidth="1"/>
    <col min="9" max="9" width="8.00390625" style="821" customWidth="1"/>
    <col min="10" max="10" width="8.7109375" style="821" customWidth="1"/>
    <col min="11" max="11" width="9.140625" style="821" customWidth="1"/>
    <col min="12" max="12" width="8.421875" style="821" customWidth="1"/>
    <col min="13" max="13" width="8.57421875" style="821" customWidth="1"/>
    <col min="14" max="14" width="8.28125" style="821" customWidth="1"/>
    <col min="15" max="15" width="9.421875" style="854" customWidth="1"/>
    <col min="16" max="16" width="9.140625" style="821" hidden="1" customWidth="1"/>
    <col min="17" max="16384" width="9.140625" style="821" customWidth="1"/>
  </cols>
  <sheetData>
    <row r="1" spans="1:16" s="817" customFormat="1" ht="15.75">
      <c r="A1" s="1375" t="s">
        <v>426</v>
      </c>
      <c r="B1" s="1375"/>
      <c r="C1" s="1375"/>
      <c r="D1" s="1375"/>
      <c r="E1" s="1375"/>
      <c r="F1" s="1375"/>
      <c r="G1" s="1375"/>
      <c r="H1" s="1375"/>
      <c r="I1" s="1375"/>
      <c r="J1" s="1375"/>
      <c r="K1" s="1375"/>
      <c r="L1" s="1375"/>
      <c r="M1" s="1375"/>
      <c r="N1" s="1375"/>
      <c r="O1" s="1375"/>
      <c r="P1" s="1375"/>
    </row>
    <row r="2" spans="1:15" s="817" customFormat="1" ht="15.75">
      <c r="A2" s="815" t="s">
        <v>871</v>
      </c>
      <c r="B2" s="815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5"/>
    </row>
    <row r="3" spans="1:15" ht="12.75">
      <c r="A3" s="818"/>
      <c r="B3" s="819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20" t="s">
        <v>128</v>
      </c>
    </row>
    <row r="4" spans="1:15" s="826" customFormat="1" ht="34.5" customHeight="1">
      <c r="A4" s="822" t="s">
        <v>129</v>
      </c>
      <c r="B4" s="823" t="s">
        <v>872</v>
      </c>
      <c r="C4" s="824" t="s">
        <v>285</v>
      </c>
      <c r="D4" s="824" t="s">
        <v>286</v>
      </c>
      <c r="E4" s="824" t="s">
        <v>287</v>
      </c>
      <c r="F4" s="824" t="s">
        <v>991</v>
      </c>
      <c r="G4" s="824" t="s">
        <v>992</v>
      </c>
      <c r="H4" s="825" t="s">
        <v>993</v>
      </c>
      <c r="I4" s="825" t="s">
        <v>994</v>
      </c>
      <c r="J4" s="825" t="s">
        <v>995</v>
      </c>
      <c r="K4" s="825" t="s">
        <v>996</v>
      </c>
      <c r="L4" s="825" t="s">
        <v>997</v>
      </c>
      <c r="M4" s="825" t="s">
        <v>998</v>
      </c>
      <c r="N4" s="825" t="s">
        <v>999</v>
      </c>
      <c r="O4" s="825" t="s">
        <v>262</v>
      </c>
    </row>
    <row r="5" spans="1:15" s="831" customFormat="1" ht="15.75" customHeight="1">
      <c r="A5" s="827" t="s">
        <v>275</v>
      </c>
      <c r="B5" s="828"/>
      <c r="C5" s="828"/>
      <c r="D5" s="828"/>
      <c r="E5" s="828"/>
      <c r="F5" s="829"/>
      <c r="G5" s="829"/>
      <c r="H5" s="829"/>
      <c r="I5" s="829"/>
      <c r="J5" s="829"/>
      <c r="K5" s="829"/>
      <c r="L5" s="829"/>
      <c r="M5" s="829"/>
      <c r="N5" s="829"/>
      <c r="O5" s="830"/>
    </row>
    <row r="6" spans="1:16" s="835" customFormat="1" ht="12">
      <c r="A6" s="282" t="s">
        <v>1000</v>
      </c>
      <c r="B6" s="832">
        <v>25500</v>
      </c>
      <c r="C6" s="832">
        <v>2125</v>
      </c>
      <c r="D6" s="832">
        <v>2125</v>
      </c>
      <c r="E6" s="832">
        <v>2125</v>
      </c>
      <c r="F6" s="832">
        <v>2125</v>
      </c>
      <c r="G6" s="832">
        <v>2125</v>
      </c>
      <c r="H6" s="832">
        <v>2125</v>
      </c>
      <c r="I6" s="832">
        <v>2125</v>
      </c>
      <c r="J6" s="832">
        <v>2125</v>
      </c>
      <c r="K6" s="832">
        <v>2125</v>
      </c>
      <c r="L6" s="832">
        <v>2125</v>
      </c>
      <c r="M6" s="832">
        <v>2125</v>
      </c>
      <c r="N6" s="832">
        <v>2125</v>
      </c>
      <c r="O6" s="833">
        <f aca="true" t="shared" si="0" ref="O6:O18">SUM(C6:N6)</f>
        <v>25500</v>
      </c>
      <c r="P6" s="834">
        <f aca="true" t="shared" si="1" ref="P6:P39">O6-B6</f>
        <v>0</v>
      </c>
    </row>
    <row r="7" spans="1:16" s="835" customFormat="1" ht="12" customHeight="1">
      <c r="A7" s="836" t="s">
        <v>1001</v>
      </c>
      <c r="B7" s="832">
        <v>549392</v>
      </c>
      <c r="C7" s="832">
        <v>45783</v>
      </c>
      <c r="D7" s="832">
        <v>45783</v>
      </c>
      <c r="E7" s="832">
        <v>45783</v>
      </c>
      <c r="F7" s="832">
        <v>45783</v>
      </c>
      <c r="G7" s="832">
        <v>45783</v>
      </c>
      <c r="H7" s="832">
        <v>45783</v>
      </c>
      <c r="I7" s="832">
        <v>45783</v>
      </c>
      <c r="J7" s="832">
        <v>45783</v>
      </c>
      <c r="K7" s="832">
        <v>45783</v>
      </c>
      <c r="L7" s="832">
        <v>45783</v>
      </c>
      <c r="M7" s="832">
        <v>45781</v>
      </c>
      <c r="N7" s="832">
        <v>45781</v>
      </c>
      <c r="O7" s="833">
        <f t="shared" si="0"/>
        <v>549392</v>
      </c>
      <c r="P7" s="834">
        <f t="shared" si="1"/>
        <v>0</v>
      </c>
    </row>
    <row r="8" spans="1:16" s="835" customFormat="1" ht="12">
      <c r="A8" s="282" t="s">
        <v>1002</v>
      </c>
      <c r="B8" s="832">
        <v>28602</v>
      </c>
      <c r="C8" s="832">
        <v>2384</v>
      </c>
      <c r="D8" s="832">
        <v>2384</v>
      </c>
      <c r="E8" s="832">
        <v>2384</v>
      </c>
      <c r="F8" s="832">
        <v>2384</v>
      </c>
      <c r="G8" s="832">
        <v>2384</v>
      </c>
      <c r="H8" s="832">
        <v>2384</v>
      </c>
      <c r="I8" s="832">
        <v>2384</v>
      </c>
      <c r="J8" s="832">
        <v>2384</v>
      </c>
      <c r="K8" s="832">
        <v>2384</v>
      </c>
      <c r="L8" s="832">
        <v>2384</v>
      </c>
      <c r="M8" s="832">
        <v>2381</v>
      </c>
      <c r="N8" s="832">
        <v>2381</v>
      </c>
      <c r="O8" s="833">
        <f t="shared" si="0"/>
        <v>28602</v>
      </c>
      <c r="P8" s="834">
        <f t="shared" si="1"/>
        <v>0</v>
      </c>
    </row>
    <row r="9" spans="1:16" s="835" customFormat="1" ht="12">
      <c r="A9" s="282" t="s">
        <v>607</v>
      </c>
      <c r="B9" s="832">
        <v>355358</v>
      </c>
      <c r="C9" s="832">
        <v>6135</v>
      </c>
      <c r="D9" s="832">
        <v>0</v>
      </c>
      <c r="E9" s="832">
        <v>20293</v>
      </c>
      <c r="F9" s="832">
        <v>0</v>
      </c>
      <c r="G9" s="832">
        <v>0</v>
      </c>
      <c r="H9" s="832">
        <v>184443</v>
      </c>
      <c r="I9" s="832">
        <v>0</v>
      </c>
      <c r="J9" s="832">
        <v>0</v>
      </c>
      <c r="K9" s="832">
        <v>0</v>
      </c>
      <c r="L9" s="832">
        <v>0</v>
      </c>
      <c r="M9" s="832">
        <v>0</v>
      </c>
      <c r="N9" s="832">
        <v>144487</v>
      </c>
      <c r="O9" s="833">
        <f t="shared" si="0"/>
        <v>355358</v>
      </c>
      <c r="P9" s="834">
        <f t="shared" si="1"/>
        <v>0</v>
      </c>
    </row>
    <row r="10" spans="1:16" s="835" customFormat="1" ht="12">
      <c r="A10" s="282" t="s">
        <v>349</v>
      </c>
      <c r="B10" s="832">
        <v>186619</v>
      </c>
      <c r="C10" s="832">
        <v>15552</v>
      </c>
      <c r="D10" s="832">
        <v>15552</v>
      </c>
      <c r="E10" s="832">
        <v>15552</v>
      </c>
      <c r="F10" s="832">
        <v>15552</v>
      </c>
      <c r="G10" s="832">
        <v>15552</v>
      </c>
      <c r="H10" s="832">
        <v>15552</v>
      </c>
      <c r="I10" s="832">
        <v>15552</v>
      </c>
      <c r="J10" s="832">
        <v>15552</v>
      </c>
      <c r="K10" s="832">
        <v>15552</v>
      </c>
      <c r="L10" s="832">
        <v>15551</v>
      </c>
      <c r="M10" s="832">
        <v>15550</v>
      </c>
      <c r="N10" s="832">
        <v>15550</v>
      </c>
      <c r="O10" s="833">
        <f t="shared" si="0"/>
        <v>186619</v>
      </c>
      <c r="P10" s="834">
        <f t="shared" si="1"/>
        <v>0</v>
      </c>
    </row>
    <row r="11" spans="1:16" s="835" customFormat="1" ht="12">
      <c r="A11" s="282" t="s">
        <v>1003</v>
      </c>
      <c r="B11" s="832">
        <v>5464408</v>
      </c>
      <c r="C11" s="832">
        <v>0</v>
      </c>
      <c r="D11" s="832">
        <v>54114</v>
      </c>
      <c r="E11" s="832">
        <v>408910</v>
      </c>
      <c r="F11" s="832">
        <v>1450229</v>
      </c>
      <c r="G11" s="832">
        <v>51114</v>
      </c>
      <c r="H11" s="832">
        <v>373910</v>
      </c>
      <c r="I11" s="832">
        <v>5000</v>
      </c>
      <c r="J11" s="832">
        <v>51114</v>
      </c>
      <c r="K11" s="832">
        <v>327796</v>
      </c>
      <c r="L11" s="832">
        <v>1738834</v>
      </c>
      <c r="M11" s="832">
        <v>97227</v>
      </c>
      <c r="N11" s="832">
        <v>906160</v>
      </c>
      <c r="O11" s="833">
        <f t="shared" si="0"/>
        <v>5464408</v>
      </c>
      <c r="P11" s="834">
        <f t="shared" si="1"/>
        <v>0</v>
      </c>
    </row>
    <row r="12" spans="1:16" s="835" customFormat="1" ht="12">
      <c r="A12" s="282" t="s">
        <v>718</v>
      </c>
      <c r="B12" s="832">
        <v>1741289</v>
      </c>
      <c r="C12" s="832">
        <v>145107</v>
      </c>
      <c r="D12" s="832">
        <v>145107</v>
      </c>
      <c r="E12" s="832">
        <v>145107</v>
      </c>
      <c r="F12" s="832">
        <v>145107</v>
      </c>
      <c r="G12" s="832">
        <v>145107</v>
      </c>
      <c r="H12" s="832">
        <v>145107</v>
      </c>
      <c r="I12" s="832">
        <v>145107</v>
      </c>
      <c r="J12" s="832">
        <v>145107</v>
      </c>
      <c r="K12" s="832">
        <v>145107</v>
      </c>
      <c r="L12" s="832">
        <v>145107</v>
      </c>
      <c r="M12" s="832">
        <v>145107</v>
      </c>
      <c r="N12" s="832">
        <v>145112</v>
      </c>
      <c r="O12" s="833">
        <f t="shared" si="0"/>
        <v>1741289</v>
      </c>
      <c r="P12" s="834">
        <f t="shared" si="1"/>
        <v>0</v>
      </c>
    </row>
    <row r="13" spans="1:16" s="835" customFormat="1" ht="12">
      <c r="A13" s="282" t="s">
        <v>91</v>
      </c>
      <c r="B13" s="840">
        <v>636500</v>
      </c>
      <c r="C13" s="832">
        <v>53042</v>
      </c>
      <c r="D13" s="832">
        <v>53042</v>
      </c>
      <c r="E13" s="832">
        <v>53042</v>
      </c>
      <c r="F13" s="832">
        <v>53042</v>
      </c>
      <c r="G13" s="832">
        <v>53042</v>
      </c>
      <c r="H13" s="832">
        <v>53042</v>
      </c>
      <c r="I13" s="832">
        <v>53042</v>
      </c>
      <c r="J13" s="832">
        <v>53042</v>
      </c>
      <c r="K13" s="832">
        <v>53042</v>
      </c>
      <c r="L13" s="832">
        <v>53042</v>
      </c>
      <c r="M13" s="832">
        <v>53040</v>
      </c>
      <c r="N13" s="832">
        <v>53040</v>
      </c>
      <c r="O13" s="833">
        <f t="shared" si="0"/>
        <v>636500</v>
      </c>
      <c r="P13" s="834">
        <f t="shared" si="1"/>
        <v>0</v>
      </c>
    </row>
    <row r="14" spans="1:16" s="835" customFormat="1" ht="12">
      <c r="A14" s="282" t="s">
        <v>1004</v>
      </c>
      <c r="B14" s="841">
        <v>259276</v>
      </c>
      <c r="C14" s="832">
        <v>20600</v>
      </c>
      <c r="D14" s="832">
        <v>20600</v>
      </c>
      <c r="E14" s="832">
        <v>20600</v>
      </c>
      <c r="F14" s="832">
        <v>20600</v>
      </c>
      <c r="G14" s="832">
        <v>32684</v>
      </c>
      <c r="H14" s="832">
        <v>20600</v>
      </c>
      <c r="I14" s="832">
        <v>20600</v>
      </c>
      <c r="J14" s="832">
        <v>20600</v>
      </c>
      <c r="K14" s="832">
        <v>20600</v>
      </c>
      <c r="L14" s="832">
        <v>20600</v>
      </c>
      <c r="M14" s="832">
        <v>20596</v>
      </c>
      <c r="N14" s="832">
        <v>20596</v>
      </c>
      <c r="O14" s="833">
        <f t="shared" si="0"/>
        <v>259276</v>
      </c>
      <c r="P14" s="834">
        <f t="shared" si="1"/>
        <v>0</v>
      </c>
    </row>
    <row r="15" spans="1:16" s="835" customFormat="1" ht="12">
      <c r="A15" s="282" t="s">
        <v>352</v>
      </c>
      <c r="B15" s="832">
        <v>2801473</v>
      </c>
      <c r="C15" s="832">
        <v>252914</v>
      </c>
      <c r="D15" s="832">
        <v>223726</v>
      </c>
      <c r="E15" s="832">
        <v>223726</v>
      </c>
      <c r="F15" s="832">
        <v>252914</v>
      </c>
      <c r="G15" s="832">
        <v>223726</v>
      </c>
      <c r="H15" s="832">
        <v>223726</v>
      </c>
      <c r="I15" s="832">
        <v>252914</v>
      </c>
      <c r="J15" s="832">
        <v>223726</v>
      </c>
      <c r="K15" s="832">
        <v>223726</v>
      </c>
      <c r="L15" s="832">
        <v>252914</v>
      </c>
      <c r="M15" s="832">
        <v>223726</v>
      </c>
      <c r="N15" s="832">
        <v>223735</v>
      </c>
      <c r="O15" s="833">
        <f t="shared" si="0"/>
        <v>2801473</v>
      </c>
      <c r="P15" s="834">
        <f t="shared" si="1"/>
        <v>0</v>
      </c>
    </row>
    <row r="16" spans="1:16" s="835" customFormat="1" ht="12">
      <c r="A16" s="282" t="s">
        <v>1005</v>
      </c>
      <c r="B16" s="832">
        <v>920291</v>
      </c>
      <c r="C16" s="832">
        <v>75572</v>
      </c>
      <c r="D16" s="832">
        <v>75572</v>
      </c>
      <c r="E16" s="832">
        <v>75572</v>
      </c>
      <c r="F16" s="832">
        <v>75572</v>
      </c>
      <c r="G16" s="832">
        <v>75572</v>
      </c>
      <c r="H16" s="832">
        <v>88992</v>
      </c>
      <c r="I16" s="832">
        <v>75572</v>
      </c>
      <c r="J16" s="832">
        <v>75572</v>
      </c>
      <c r="K16" s="832">
        <v>75572</v>
      </c>
      <c r="L16" s="832">
        <v>75572</v>
      </c>
      <c r="M16" s="832">
        <v>75572</v>
      </c>
      <c r="N16" s="832">
        <v>75579</v>
      </c>
      <c r="O16" s="833">
        <f t="shared" si="0"/>
        <v>920291</v>
      </c>
      <c r="P16" s="834">
        <f t="shared" si="1"/>
        <v>0</v>
      </c>
    </row>
    <row r="17" spans="1:16" s="835" customFormat="1" ht="12">
      <c r="A17" s="282" t="s">
        <v>1006</v>
      </c>
      <c r="B17" s="841">
        <v>0</v>
      </c>
      <c r="C17" s="841">
        <v>0</v>
      </c>
      <c r="D17" s="841">
        <v>0</v>
      </c>
      <c r="E17" s="841">
        <v>0</v>
      </c>
      <c r="F17" s="841"/>
      <c r="G17" s="841">
        <v>0</v>
      </c>
      <c r="H17" s="841">
        <v>0</v>
      </c>
      <c r="I17" s="841">
        <v>0</v>
      </c>
      <c r="J17" s="841">
        <v>0</v>
      </c>
      <c r="K17" s="841">
        <v>0</v>
      </c>
      <c r="L17" s="841">
        <v>0</v>
      </c>
      <c r="M17" s="841">
        <v>0</v>
      </c>
      <c r="N17" s="841">
        <v>0</v>
      </c>
      <c r="O17" s="833">
        <f t="shared" si="0"/>
        <v>0</v>
      </c>
      <c r="P17" s="834">
        <f t="shared" si="1"/>
        <v>0</v>
      </c>
    </row>
    <row r="18" spans="1:16" s="835" customFormat="1" ht="12">
      <c r="A18" s="282" t="s">
        <v>1007</v>
      </c>
      <c r="B18" s="841">
        <v>22309</v>
      </c>
      <c r="C18" s="832">
        <v>1859</v>
      </c>
      <c r="D18" s="832">
        <v>1859</v>
      </c>
      <c r="E18" s="832">
        <v>1859</v>
      </c>
      <c r="F18" s="832">
        <v>1859</v>
      </c>
      <c r="G18" s="832">
        <v>1859</v>
      </c>
      <c r="H18" s="832">
        <v>1859</v>
      </c>
      <c r="I18" s="832">
        <v>1859</v>
      </c>
      <c r="J18" s="832">
        <v>1859</v>
      </c>
      <c r="K18" s="832">
        <v>1859</v>
      </c>
      <c r="L18" s="832">
        <v>1859</v>
      </c>
      <c r="M18" s="832">
        <v>1859</v>
      </c>
      <c r="N18" s="832">
        <v>1860</v>
      </c>
      <c r="O18" s="833">
        <f t="shared" si="0"/>
        <v>22309</v>
      </c>
      <c r="P18" s="834">
        <f t="shared" si="1"/>
        <v>0</v>
      </c>
    </row>
    <row r="19" spans="1:16" s="843" customFormat="1" ht="12">
      <c r="A19" s="283" t="s">
        <v>1008</v>
      </c>
      <c r="B19" s="842">
        <f aca="true" t="shared" si="2" ref="B19:O19">SUM(B6:B18)</f>
        <v>12991017</v>
      </c>
      <c r="C19" s="842">
        <f t="shared" si="2"/>
        <v>621073</v>
      </c>
      <c r="D19" s="842">
        <f t="shared" si="2"/>
        <v>639864</v>
      </c>
      <c r="E19" s="842">
        <f t="shared" si="2"/>
        <v>1014953</v>
      </c>
      <c r="F19" s="842">
        <f t="shared" si="2"/>
        <v>2065167</v>
      </c>
      <c r="G19" s="842">
        <f t="shared" si="2"/>
        <v>648948</v>
      </c>
      <c r="H19" s="842">
        <f t="shared" si="2"/>
        <v>1157523</v>
      </c>
      <c r="I19" s="842">
        <f t="shared" si="2"/>
        <v>619938</v>
      </c>
      <c r="J19" s="842">
        <f t="shared" si="2"/>
        <v>636864</v>
      </c>
      <c r="K19" s="842">
        <f t="shared" si="2"/>
        <v>913546</v>
      </c>
      <c r="L19" s="842">
        <f t="shared" si="2"/>
        <v>2353771</v>
      </c>
      <c r="M19" s="842">
        <f t="shared" si="2"/>
        <v>682964</v>
      </c>
      <c r="N19" s="842">
        <f t="shared" si="2"/>
        <v>1636406</v>
      </c>
      <c r="O19" s="842">
        <f t="shared" si="2"/>
        <v>12991017</v>
      </c>
      <c r="P19" s="834">
        <f t="shared" si="1"/>
        <v>0</v>
      </c>
    </row>
    <row r="20" spans="1:16" s="844" customFormat="1" ht="12">
      <c r="A20" s="837" t="s">
        <v>1009</v>
      </c>
      <c r="B20" s="832">
        <v>3779352</v>
      </c>
      <c r="C20" s="832">
        <f aca="true" t="shared" si="3" ref="C20:O20">C39-C19</f>
        <v>1043130</v>
      </c>
      <c r="D20" s="832">
        <f t="shared" si="3"/>
        <v>472197</v>
      </c>
      <c r="E20" s="832">
        <f t="shared" si="3"/>
        <v>342480</v>
      </c>
      <c r="F20" s="832">
        <f t="shared" si="3"/>
        <v>-889419</v>
      </c>
      <c r="G20" s="832">
        <f t="shared" si="3"/>
        <v>476653</v>
      </c>
      <c r="H20" s="832">
        <f t="shared" si="3"/>
        <v>149230</v>
      </c>
      <c r="I20" s="832">
        <f t="shared" si="3"/>
        <v>829524</v>
      </c>
      <c r="J20" s="832">
        <f t="shared" si="3"/>
        <v>528092</v>
      </c>
      <c r="K20" s="832">
        <f t="shared" si="3"/>
        <v>382690</v>
      </c>
      <c r="L20" s="832">
        <f t="shared" si="3"/>
        <v>-1164845</v>
      </c>
      <c r="M20" s="832">
        <f t="shared" si="3"/>
        <v>739834</v>
      </c>
      <c r="N20" s="832">
        <f t="shared" si="3"/>
        <v>-178119</v>
      </c>
      <c r="O20" s="842">
        <f t="shared" si="3"/>
        <v>2731447</v>
      </c>
      <c r="P20" s="834">
        <f t="shared" si="1"/>
        <v>-1047905</v>
      </c>
    </row>
    <row r="21" spans="1:16" s="847" customFormat="1" ht="15.75" customHeight="1">
      <c r="A21" s="845" t="s">
        <v>264</v>
      </c>
      <c r="B21" s="846"/>
      <c r="C21" s="841"/>
      <c r="D21" s="841"/>
      <c r="E21" s="841"/>
      <c r="F21" s="841"/>
      <c r="G21" s="841"/>
      <c r="H21" s="841"/>
      <c r="I21" s="841"/>
      <c r="J21" s="841"/>
      <c r="K21" s="841"/>
      <c r="L21" s="841"/>
      <c r="M21" s="841"/>
      <c r="N21" s="841"/>
      <c r="O21" s="833"/>
      <c r="P21" s="834">
        <f t="shared" si="1"/>
        <v>0</v>
      </c>
    </row>
    <row r="22" spans="1:16" s="835" customFormat="1" ht="12">
      <c r="A22" s="282" t="s">
        <v>460</v>
      </c>
      <c r="B22" s="832">
        <v>5932884</v>
      </c>
      <c r="C22" s="832">
        <v>843780</v>
      </c>
      <c r="D22" s="832">
        <v>424390</v>
      </c>
      <c r="E22" s="832">
        <v>424390</v>
      </c>
      <c r="F22" s="832">
        <v>424390</v>
      </c>
      <c r="G22" s="832">
        <v>424390</v>
      </c>
      <c r="H22" s="832">
        <v>424390</v>
      </c>
      <c r="I22" s="832">
        <v>636585</v>
      </c>
      <c r="J22" s="832">
        <v>424390</v>
      </c>
      <c r="K22" s="832">
        <v>424390</v>
      </c>
      <c r="L22" s="832">
        <v>424390</v>
      </c>
      <c r="M22" s="832">
        <v>633010</v>
      </c>
      <c r="N22" s="832">
        <v>424389</v>
      </c>
      <c r="O22" s="833">
        <f aca="true" t="shared" si="4" ref="O22:O28">SUM(C22:N22)</f>
        <v>5932884</v>
      </c>
      <c r="P22" s="834">
        <f t="shared" si="1"/>
        <v>0</v>
      </c>
    </row>
    <row r="23" spans="1:16" s="835" customFormat="1" ht="12">
      <c r="A23" s="848" t="s">
        <v>461</v>
      </c>
      <c r="B23" s="832">
        <v>1901658</v>
      </c>
      <c r="C23" s="832">
        <v>270910</v>
      </c>
      <c r="D23" s="832">
        <v>135955</v>
      </c>
      <c r="E23" s="832">
        <v>135955</v>
      </c>
      <c r="F23" s="832">
        <v>135955</v>
      </c>
      <c r="G23" s="832">
        <v>135955</v>
      </c>
      <c r="H23" s="832">
        <v>135955</v>
      </c>
      <c r="I23" s="832">
        <v>203933</v>
      </c>
      <c r="J23" s="832">
        <v>135955</v>
      </c>
      <c r="K23" s="832">
        <v>135955</v>
      </c>
      <c r="L23" s="832">
        <v>135955</v>
      </c>
      <c r="M23" s="832">
        <v>203215</v>
      </c>
      <c r="N23" s="832">
        <v>135960</v>
      </c>
      <c r="O23" s="833">
        <f t="shared" si="4"/>
        <v>1901658</v>
      </c>
      <c r="P23" s="834">
        <f t="shared" si="1"/>
        <v>0</v>
      </c>
    </row>
    <row r="24" spans="1:16" s="835" customFormat="1" ht="12">
      <c r="A24" s="282" t="s">
        <v>462</v>
      </c>
      <c r="B24" s="832">
        <v>4605930</v>
      </c>
      <c r="C24" s="832">
        <v>351994</v>
      </c>
      <c r="D24" s="832">
        <v>351994</v>
      </c>
      <c r="E24" s="832">
        <v>420000</v>
      </c>
      <c r="F24" s="832">
        <v>351994</v>
      </c>
      <c r="G24" s="832">
        <v>351994</v>
      </c>
      <c r="H24" s="832">
        <v>420000</v>
      </c>
      <c r="I24" s="832">
        <v>351994</v>
      </c>
      <c r="J24" s="832">
        <v>351994</v>
      </c>
      <c r="K24" s="832">
        <v>420000</v>
      </c>
      <c r="L24" s="832">
        <v>391311</v>
      </c>
      <c r="M24" s="832">
        <v>391311</v>
      </c>
      <c r="N24" s="832">
        <v>451344</v>
      </c>
      <c r="O24" s="833">
        <f t="shared" si="4"/>
        <v>4605930</v>
      </c>
      <c r="P24" s="834">
        <f t="shared" si="1"/>
        <v>0</v>
      </c>
    </row>
    <row r="25" spans="1:16" s="835" customFormat="1" ht="12">
      <c r="A25" s="849" t="s">
        <v>578</v>
      </c>
      <c r="B25" s="832">
        <v>106920</v>
      </c>
      <c r="C25" s="832">
        <v>4000</v>
      </c>
      <c r="D25" s="832">
        <v>8460</v>
      </c>
      <c r="E25" s="832">
        <v>16500</v>
      </c>
      <c r="F25" s="832">
        <v>4000</v>
      </c>
      <c r="G25" s="832">
        <v>4000</v>
      </c>
      <c r="H25" s="832">
        <v>16500</v>
      </c>
      <c r="I25" s="832">
        <v>4000</v>
      </c>
      <c r="J25" s="832">
        <v>8460</v>
      </c>
      <c r="K25" s="832">
        <v>16500</v>
      </c>
      <c r="L25" s="832">
        <v>4000</v>
      </c>
      <c r="M25" s="832">
        <v>4000</v>
      </c>
      <c r="N25" s="832">
        <v>16500</v>
      </c>
      <c r="O25" s="833">
        <f t="shared" si="4"/>
        <v>106920</v>
      </c>
      <c r="P25" s="834">
        <f t="shared" si="1"/>
        <v>0</v>
      </c>
    </row>
    <row r="26" spans="1:16" s="835" customFormat="1" ht="12">
      <c r="A26" s="849" t="s">
        <v>577</v>
      </c>
      <c r="B26" s="832">
        <v>348559</v>
      </c>
      <c r="C26" s="832">
        <v>15396</v>
      </c>
      <c r="D26" s="832">
        <v>15396</v>
      </c>
      <c r="E26" s="832">
        <v>51571</v>
      </c>
      <c r="F26" s="832">
        <v>15396</v>
      </c>
      <c r="G26" s="832">
        <v>15396</v>
      </c>
      <c r="H26" s="832">
        <v>53371</v>
      </c>
      <c r="I26" s="832">
        <v>17896</v>
      </c>
      <c r="J26" s="832">
        <v>24838</v>
      </c>
      <c r="K26" s="832">
        <v>52571</v>
      </c>
      <c r="L26" s="832">
        <v>15396</v>
      </c>
      <c r="M26" s="832">
        <v>15396</v>
      </c>
      <c r="N26" s="832">
        <v>55936</v>
      </c>
      <c r="O26" s="833">
        <f t="shared" si="4"/>
        <v>348559</v>
      </c>
      <c r="P26" s="834">
        <f t="shared" si="1"/>
        <v>0</v>
      </c>
    </row>
    <row r="27" spans="1:16" s="851" customFormat="1" ht="12">
      <c r="A27" s="850" t="s">
        <v>1010</v>
      </c>
      <c r="B27" s="832">
        <v>527056</v>
      </c>
      <c r="C27" s="832">
        <v>40542</v>
      </c>
      <c r="D27" s="832">
        <v>40542</v>
      </c>
      <c r="E27" s="832">
        <v>40542</v>
      </c>
      <c r="F27" s="832">
        <v>40542</v>
      </c>
      <c r="G27" s="832">
        <v>40542</v>
      </c>
      <c r="H27" s="832">
        <v>40542</v>
      </c>
      <c r="I27" s="832">
        <v>60813</v>
      </c>
      <c r="J27" s="832">
        <v>40542</v>
      </c>
      <c r="K27" s="832">
        <v>40542</v>
      </c>
      <c r="L27" s="832">
        <v>40542</v>
      </c>
      <c r="M27" s="832">
        <v>40542</v>
      </c>
      <c r="N27" s="832">
        <v>60823</v>
      </c>
      <c r="O27" s="833">
        <f t="shared" si="4"/>
        <v>527056</v>
      </c>
      <c r="P27" s="834">
        <f t="shared" si="1"/>
        <v>0</v>
      </c>
    </row>
    <row r="28" spans="1:16" s="851" customFormat="1" ht="12">
      <c r="A28" s="850" t="s">
        <v>83</v>
      </c>
      <c r="B28" s="832">
        <v>29515</v>
      </c>
      <c r="C28" s="832">
        <v>4340</v>
      </c>
      <c r="D28" s="832">
        <v>2083</v>
      </c>
      <c r="E28" s="832">
        <v>2083</v>
      </c>
      <c r="F28" s="832">
        <v>2083</v>
      </c>
      <c r="G28" s="832">
        <v>2083</v>
      </c>
      <c r="H28" s="832">
        <v>2083</v>
      </c>
      <c r="I28" s="832">
        <v>2083</v>
      </c>
      <c r="J28" s="832">
        <v>2083</v>
      </c>
      <c r="K28" s="832">
        <v>2083</v>
      </c>
      <c r="L28" s="832">
        <v>4340</v>
      </c>
      <c r="M28" s="832">
        <v>2083</v>
      </c>
      <c r="N28" s="832">
        <v>2088</v>
      </c>
      <c r="O28" s="833">
        <f t="shared" si="4"/>
        <v>29515</v>
      </c>
      <c r="P28" s="834">
        <f t="shared" si="1"/>
        <v>0</v>
      </c>
    </row>
    <row r="29" spans="1:16" s="852" customFormat="1" ht="12">
      <c r="A29" s="284" t="s">
        <v>317</v>
      </c>
      <c r="B29" s="842">
        <f>SUM(B22:B28)</f>
        <v>13452522</v>
      </c>
      <c r="C29" s="842">
        <f aca="true" t="shared" si="5" ref="C29:O29">SUM(C22:C28)</f>
        <v>1530962</v>
      </c>
      <c r="D29" s="842">
        <f t="shared" si="5"/>
        <v>978820</v>
      </c>
      <c r="E29" s="842">
        <f t="shared" si="5"/>
        <v>1091041</v>
      </c>
      <c r="F29" s="842">
        <f t="shared" si="5"/>
        <v>974360</v>
      </c>
      <c r="G29" s="842">
        <f t="shared" si="5"/>
        <v>974360</v>
      </c>
      <c r="H29" s="842">
        <f t="shared" si="5"/>
        <v>1092841</v>
      </c>
      <c r="I29" s="842">
        <f t="shared" si="5"/>
        <v>1277304</v>
      </c>
      <c r="J29" s="842">
        <f t="shared" si="5"/>
        <v>988262</v>
      </c>
      <c r="K29" s="842">
        <f t="shared" si="5"/>
        <v>1092041</v>
      </c>
      <c r="L29" s="842">
        <f t="shared" si="5"/>
        <v>1015934</v>
      </c>
      <c r="M29" s="842">
        <f t="shared" si="5"/>
        <v>1289557</v>
      </c>
      <c r="N29" s="842">
        <f t="shared" si="5"/>
        <v>1147040</v>
      </c>
      <c r="O29" s="842">
        <f t="shared" si="5"/>
        <v>13452522</v>
      </c>
      <c r="P29" s="834">
        <f t="shared" si="1"/>
        <v>0</v>
      </c>
    </row>
    <row r="30" spans="1:16" s="835" customFormat="1" ht="12">
      <c r="A30" s="282" t="s">
        <v>186</v>
      </c>
      <c r="B30" s="832">
        <v>74536</v>
      </c>
      <c r="C30" s="832">
        <v>0</v>
      </c>
      <c r="D30" s="832">
        <v>0</v>
      </c>
      <c r="E30" s="832">
        <v>25000</v>
      </c>
      <c r="F30" s="832">
        <v>19000</v>
      </c>
      <c r="G30" s="832">
        <v>0</v>
      </c>
      <c r="H30" s="832">
        <v>15000</v>
      </c>
      <c r="I30" s="832">
        <v>0</v>
      </c>
      <c r="J30" s="832">
        <v>4536</v>
      </c>
      <c r="K30" s="832">
        <v>0</v>
      </c>
      <c r="L30" s="832">
        <v>11000</v>
      </c>
      <c r="M30" s="832">
        <v>0</v>
      </c>
      <c r="N30" s="832">
        <v>0</v>
      </c>
      <c r="O30" s="833">
        <f aca="true" t="shared" si="6" ref="O30:O38">SUM(C30:N30)</f>
        <v>74536</v>
      </c>
      <c r="P30" s="834">
        <f t="shared" si="1"/>
        <v>0</v>
      </c>
    </row>
    <row r="31" spans="1:16" s="835" customFormat="1" ht="12">
      <c r="A31" s="282" t="s">
        <v>203</v>
      </c>
      <c r="B31" s="832">
        <v>89430</v>
      </c>
      <c r="C31" s="832">
        <v>6119</v>
      </c>
      <c r="D31" s="832">
        <v>6119</v>
      </c>
      <c r="E31" s="832">
        <v>6119</v>
      </c>
      <c r="F31" s="832">
        <v>6119</v>
      </c>
      <c r="G31" s="832">
        <v>6119</v>
      </c>
      <c r="H31" s="832">
        <v>6119</v>
      </c>
      <c r="I31" s="832">
        <v>6119</v>
      </c>
      <c r="J31" s="832">
        <v>6119</v>
      </c>
      <c r="K31" s="832">
        <v>22119</v>
      </c>
      <c r="L31" s="832">
        <v>6119</v>
      </c>
      <c r="M31" s="832">
        <v>6119</v>
      </c>
      <c r="N31" s="832">
        <v>6121</v>
      </c>
      <c r="O31" s="833">
        <f t="shared" si="6"/>
        <v>89430</v>
      </c>
      <c r="P31" s="834">
        <f t="shared" si="1"/>
        <v>0</v>
      </c>
    </row>
    <row r="32" spans="1:16" s="835" customFormat="1" ht="12">
      <c r="A32" s="282" t="s">
        <v>340</v>
      </c>
      <c r="B32" s="832">
        <v>220052</v>
      </c>
      <c r="C32" s="832">
        <v>0</v>
      </c>
      <c r="D32" s="832">
        <v>0</v>
      </c>
      <c r="E32" s="832">
        <v>27800</v>
      </c>
      <c r="F32" s="832">
        <v>0</v>
      </c>
      <c r="G32" s="832">
        <v>18000</v>
      </c>
      <c r="H32" s="832">
        <v>38917</v>
      </c>
      <c r="I32" s="832">
        <v>38917</v>
      </c>
      <c r="J32" s="832">
        <v>38917</v>
      </c>
      <c r="K32" s="832">
        <v>28750</v>
      </c>
      <c r="L32" s="832">
        <v>28751</v>
      </c>
      <c r="M32" s="832">
        <v>0</v>
      </c>
      <c r="N32" s="832">
        <v>0</v>
      </c>
      <c r="O32" s="833">
        <f t="shared" si="6"/>
        <v>220052</v>
      </c>
      <c r="P32" s="834">
        <f t="shared" si="1"/>
        <v>0</v>
      </c>
    </row>
    <row r="33" spans="1:16" s="835" customFormat="1" ht="12">
      <c r="A33" s="282" t="s">
        <v>579</v>
      </c>
      <c r="B33" s="832">
        <v>118446</v>
      </c>
      <c r="C33" s="832">
        <v>575</v>
      </c>
      <c r="D33" s="832">
        <v>575</v>
      </c>
      <c r="E33" s="832">
        <v>575</v>
      </c>
      <c r="F33" s="832">
        <v>575</v>
      </c>
      <c r="G33" s="832">
        <v>575</v>
      </c>
      <c r="H33" s="832">
        <v>575</v>
      </c>
      <c r="I33" s="832">
        <v>575</v>
      </c>
      <c r="J33" s="832">
        <v>575</v>
      </c>
      <c r="K33" s="832">
        <v>575</v>
      </c>
      <c r="L33" s="832">
        <v>575</v>
      </c>
      <c r="M33" s="832">
        <v>575</v>
      </c>
      <c r="N33" s="832">
        <v>112121</v>
      </c>
      <c r="O33" s="833">
        <f t="shared" si="6"/>
        <v>118446</v>
      </c>
      <c r="P33" s="834">
        <f t="shared" si="1"/>
        <v>0</v>
      </c>
    </row>
    <row r="34" spans="1:16" s="835" customFormat="1" ht="12">
      <c r="A34" s="282" t="s">
        <v>1011</v>
      </c>
      <c r="B34" s="832">
        <v>32964</v>
      </c>
      <c r="C34" s="832">
        <v>2701</v>
      </c>
      <c r="D34" s="832">
        <v>2701</v>
      </c>
      <c r="E34" s="832">
        <v>2701</v>
      </c>
      <c r="F34" s="832">
        <v>2701</v>
      </c>
      <c r="G34" s="832">
        <v>2701</v>
      </c>
      <c r="H34" s="832">
        <v>3251</v>
      </c>
      <c r="I34" s="832">
        <v>2701</v>
      </c>
      <c r="J34" s="832">
        <v>2701</v>
      </c>
      <c r="K34" s="832">
        <v>2701</v>
      </c>
      <c r="L34" s="832">
        <v>2701</v>
      </c>
      <c r="M34" s="832">
        <v>2701</v>
      </c>
      <c r="N34" s="832">
        <v>2703</v>
      </c>
      <c r="O34" s="833">
        <f t="shared" si="6"/>
        <v>32964</v>
      </c>
      <c r="P34" s="834">
        <f t="shared" si="1"/>
        <v>0</v>
      </c>
    </row>
    <row r="35" spans="1:16" s="835" customFormat="1" ht="12">
      <c r="A35" s="284" t="s">
        <v>318</v>
      </c>
      <c r="B35" s="842">
        <f aca="true" t="shared" si="7" ref="B35:N35">SUM(B30:B34)</f>
        <v>535428</v>
      </c>
      <c r="C35" s="842">
        <f t="shared" si="7"/>
        <v>9395</v>
      </c>
      <c r="D35" s="842">
        <f t="shared" si="7"/>
        <v>9395</v>
      </c>
      <c r="E35" s="842">
        <f t="shared" si="7"/>
        <v>62195</v>
      </c>
      <c r="F35" s="842">
        <f t="shared" si="7"/>
        <v>28395</v>
      </c>
      <c r="G35" s="842">
        <f t="shared" si="7"/>
        <v>27395</v>
      </c>
      <c r="H35" s="842">
        <f t="shared" si="7"/>
        <v>63862</v>
      </c>
      <c r="I35" s="842">
        <f t="shared" si="7"/>
        <v>48312</v>
      </c>
      <c r="J35" s="842">
        <f t="shared" si="7"/>
        <v>52848</v>
      </c>
      <c r="K35" s="842">
        <f t="shared" si="7"/>
        <v>54145</v>
      </c>
      <c r="L35" s="842">
        <f t="shared" si="7"/>
        <v>49146</v>
      </c>
      <c r="M35" s="842">
        <f t="shared" si="7"/>
        <v>9395</v>
      </c>
      <c r="N35" s="842">
        <f t="shared" si="7"/>
        <v>120945</v>
      </c>
      <c r="O35" s="833">
        <f t="shared" si="6"/>
        <v>535428</v>
      </c>
      <c r="P35" s="834">
        <f t="shared" si="1"/>
        <v>0</v>
      </c>
    </row>
    <row r="36" spans="1:16" s="835" customFormat="1" ht="12">
      <c r="A36" s="282" t="s">
        <v>581</v>
      </c>
      <c r="B36" s="832">
        <v>8125</v>
      </c>
      <c r="C36" s="832">
        <v>677</v>
      </c>
      <c r="D36" s="832">
        <v>677</v>
      </c>
      <c r="E36" s="832">
        <v>677</v>
      </c>
      <c r="F36" s="832">
        <v>677</v>
      </c>
      <c r="G36" s="832">
        <v>677</v>
      </c>
      <c r="H36" s="832">
        <v>677</v>
      </c>
      <c r="I36" s="832">
        <v>677</v>
      </c>
      <c r="J36" s="832">
        <v>677</v>
      </c>
      <c r="K36" s="832">
        <v>677</v>
      </c>
      <c r="L36" s="832">
        <v>677</v>
      </c>
      <c r="M36" s="832">
        <v>677</v>
      </c>
      <c r="N36" s="832">
        <v>678</v>
      </c>
      <c r="O36" s="833">
        <f t="shared" si="6"/>
        <v>8125</v>
      </c>
      <c r="P36" s="834"/>
    </row>
    <row r="37" spans="1:16" s="835" customFormat="1" ht="12">
      <c r="A37" s="282" t="s">
        <v>580</v>
      </c>
      <c r="B37" s="832">
        <v>145064</v>
      </c>
      <c r="C37" s="832">
        <v>0</v>
      </c>
      <c r="D37" s="832">
        <v>0</v>
      </c>
      <c r="E37" s="832">
        <v>26204</v>
      </c>
      <c r="F37" s="832">
        <v>0</v>
      </c>
      <c r="G37" s="832">
        <v>0</v>
      </c>
      <c r="H37" s="832">
        <v>26204</v>
      </c>
      <c r="I37" s="832">
        <v>0</v>
      </c>
      <c r="J37" s="832">
        <v>0</v>
      </c>
      <c r="K37" s="832">
        <v>26204</v>
      </c>
      <c r="L37" s="832">
        <v>0</v>
      </c>
      <c r="M37" s="832">
        <v>0</v>
      </c>
      <c r="N37" s="832">
        <v>66452</v>
      </c>
      <c r="O37" s="833">
        <f t="shared" si="6"/>
        <v>145064</v>
      </c>
      <c r="P37" s="834">
        <f t="shared" si="1"/>
        <v>0</v>
      </c>
    </row>
    <row r="38" spans="1:16" s="835" customFormat="1" ht="12">
      <c r="A38" s="282" t="s">
        <v>272</v>
      </c>
      <c r="B38" s="832">
        <v>2629230</v>
      </c>
      <c r="C38" s="832">
        <v>123169</v>
      </c>
      <c r="D38" s="832">
        <v>123169</v>
      </c>
      <c r="E38" s="832">
        <v>177316</v>
      </c>
      <c r="F38" s="832">
        <v>172316</v>
      </c>
      <c r="G38" s="832">
        <v>123169</v>
      </c>
      <c r="H38" s="832">
        <v>123169</v>
      </c>
      <c r="I38" s="832">
        <v>123169</v>
      </c>
      <c r="J38" s="832">
        <v>123169</v>
      </c>
      <c r="K38" s="832">
        <v>123169</v>
      </c>
      <c r="L38" s="832">
        <v>123169</v>
      </c>
      <c r="M38" s="832">
        <v>123169</v>
      </c>
      <c r="N38" s="832">
        <v>123172</v>
      </c>
      <c r="O38" s="833">
        <f t="shared" si="6"/>
        <v>1581325</v>
      </c>
      <c r="P38" s="834">
        <f t="shared" si="1"/>
        <v>-1047905</v>
      </c>
    </row>
    <row r="39" spans="1:16" s="852" customFormat="1" ht="12">
      <c r="A39" s="284" t="s">
        <v>677</v>
      </c>
      <c r="B39" s="842">
        <f aca="true" t="shared" si="8" ref="B39:O39">SUM(B29+SUM(B35:B38))</f>
        <v>16770369</v>
      </c>
      <c r="C39" s="842">
        <f t="shared" si="8"/>
        <v>1664203</v>
      </c>
      <c r="D39" s="842">
        <f t="shared" si="8"/>
        <v>1112061</v>
      </c>
      <c r="E39" s="842">
        <f t="shared" si="8"/>
        <v>1357433</v>
      </c>
      <c r="F39" s="842">
        <f t="shared" si="8"/>
        <v>1175748</v>
      </c>
      <c r="G39" s="842">
        <f t="shared" si="8"/>
        <v>1125601</v>
      </c>
      <c r="H39" s="842">
        <f t="shared" si="8"/>
        <v>1306753</v>
      </c>
      <c r="I39" s="842">
        <f t="shared" si="8"/>
        <v>1449462</v>
      </c>
      <c r="J39" s="842">
        <f t="shared" si="8"/>
        <v>1164956</v>
      </c>
      <c r="K39" s="842">
        <f t="shared" si="8"/>
        <v>1296236</v>
      </c>
      <c r="L39" s="842">
        <f t="shared" si="8"/>
        <v>1188926</v>
      </c>
      <c r="M39" s="842">
        <f t="shared" si="8"/>
        <v>1422798</v>
      </c>
      <c r="N39" s="842">
        <f t="shared" si="8"/>
        <v>1458287</v>
      </c>
      <c r="O39" s="1089">
        <f t="shared" si="8"/>
        <v>15722464</v>
      </c>
      <c r="P39" s="834">
        <f t="shared" si="1"/>
        <v>-1047905</v>
      </c>
    </row>
    <row r="40" ht="12.75">
      <c r="B40" s="853"/>
    </row>
    <row r="41" ht="12.75">
      <c r="O41" s="853"/>
    </row>
  </sheetData>
  <mergeCells count="1">
    <mergeCell ref="A1:P1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1"/>
  <headerFooter alignWithMargins="0">
    <oddHeader>&amp;R&amp;"Times New Roman CE,Normál"8.számú melléklet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3" sqref="A13"/>
    </sheetView>
  </sheetViews>
  <sheetFormatPr defaultColWidth="9.140625" defaultRowHeight="12.75"/>
  <cols>
    <col min="1" max="1" width="24.7109375" style="821" bestFit="1" customWidth="1"/>
    <col min="2" max="2" width="8.7109375" style="854" customWidth="1"/>
    <col min="3" max="3" width="8.140625" style="821" customWidth="1"/>
    <col min="4" max="4" width="7.8515625" style="821" customWidth="1"/>
    <col min="5" max="6" width="8.28125" style="821" customWidth="1"/>
    <col min="7" max="7" width="8.00390625" style="821" customWidth="1"/>
    <col min="8" max="8" width="8.140625" style="821" customWidth="1"/>
    <col min="9" max="9" width="8.00390625" style="821" customWidth="1"/>
    <col min="10" max="10" width="8.7109375" style="821" customWidth="1"/>
    <col min="11" max="11" width="9.140625" style="821" customWidth="1"/>
    <col min="12" max="12" width="8.421875" style="821" customWidth="1"/>
    <col min="13" max="13" width="8.57421875" style="821" customWidth="1"/>
    <col min="14" max="14" width="8.28125" style="821" customWidth="1"/>
    <col min="15" max="15" width="9.421875" style="854" customWidth="1"/>
    <col min="16" max="16" width="9.140625" style="821" hidden="1" customWidth="1"/>
    <col min="17" max="16384" width="9.140625" style="821" customWidth="1"/>
  </cols>
  <sheetData>
    <row r="1" spans="1:16" s="817" customFormat="1" ht="15.75">
      <c r="A1" s="1375" t="s">
        <v>426</v>
      </c>
      <c r="B1" s="1375"/>
      <c r="C1" s="1375"/>
      <c r="D1" s="1375"/>
      <c r="E1" s="1375"/>
      <c r="F1" s="1375"/>
      <c r="G1" s="1375"/>
      <c r="H1" s="1375"/>
      <c r="I1" s="1375"/>
      <c r="J1" s="1375"/>
      <c r="K1" s="1375"/>
      <c r="L1" s="1375"/>
      <c r="M1" s="1375"/>
      <c r="N1" s="1375"/>
      <c r="O1" s="1375"/>
      <c r="P1" s="1375"/>
    </row>
    <row r="2" spans="1:15" s="817" customFormat="1" ht="15.75">
      <c r="A2" s="815" t="s">
        <v>871</v>
      </c>
      <c r="B2" s="815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5"/>
    </row>
    <row r="3" spans="1:15" ht="12.75">
      <c r="A3" s="818"/>
      <c r="B3" s="819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20" t="s">
        <v>128</v>
      </c>
    </row>
    <row r="4" spans="1:15" s="826" customFormat="1" ht="34.5" customHeight="1">
      <c r="A4" s="822" t="s">
        <v>129</v>
      </c>
      <c r="B4" s="823" t="s">
        <v>872</v>
      </c>
      <c r="C4" s="824" t="s">
        <v>285</v>
      </c>
      <c r="D4" s="824" t="s">
        <v>286</v>
      </c>
      <c r="E4" s="824" t="s">
        <v>287</v>
      </c>
      <c r="F4" s="824" t="s">
        <v>991</v>
      </c>
      <c r="G4" s="824" t="s">
        <v>992</v>
      </c>
      <c r="H4" s="825" t="s">
        <v>993</v>
      </c>
      <c r="I4" s="825" t="s">
        <v>994</v>
      </c>
      <c r="J4" s="825" t="s">
        <v>995</v>
      </c>
      <c r="K4" s="825" t="s">
        <v>996</v>
      </c>
      <c r="L4" s="825" t="s">
        <v>997</v>
      </c>
      <c r="M4" s="825" t="s">
        <v>998</v>
      </c>
      <c r="N4" s="825" t="s">
        <v>999</v>
      </c>
      <c r="O4" s="825" t="s">
        <v>262</v>
      </c>
    </row>
    <row r="5" spans="1:15" s="831" customFormat="1" ht="15.75" customHeight="1">
      <c r="A5" s="827" t="s">
        <v>275</v>
      </c>
      <c r="B5" s="828"/>
      <c r="C5" s="828"/>
      <c r="D5" s="828"/>
      <c r="E5" s="828"/>
      <c r="F5" s="829"/>
      <c r="G5" s="829"/>
      <c r="H5" s="829"/>
      <c r="I5" s="829"/>
      <c r="J5" s="829"/>
      <c r="K5" s="829"/>
      <c r="L5" s="829"/>
      <c r="M5" s="829"/>
      <c r="N5" s="829"/>
      <c r="O5" s="830"/>
    </row>
    <row r="6" spans="1:16" s="835" customFormat="1" ht="12">
      <c r="A6" s="282" t="s">
        <v>391</v>
      </c>
      <c r="B6" s="832">
        <v>850000</v>
      </c>
      <c r="C6" s="832"/>
      <c r="D6" s="832">
        <v>8000</v>
      </c>
      <c r="E6" s="832">
        <v>40000</v>
      </c>
      <c r="F6" s="832">
        <v>342000</v>
      </c>
      <c r="G6" s="832">
        <v>5000</v>
      </c>
      <c r="H6" s="832">
        <v>5000</v>
      </c>
      <c r="I6" s="832">
        <v>5000</v>
      </c>
      <c r="J6" s="832">
        <v>5000</v>
      </c>
      <c r="K6" s="832">
        <v>5000</v>
      </c>
      <c r="L6" s="832">
        <v>400000</v>
      </c>
      <c r="M6" s="832">
        <v>5000</v>
      </c>
      <c r="N6" s="832">
        <v>30000</v>
      </c>
      <c r="O6" s="833">
        <f>SUM(C6:N6)</f>
        <v>850000</v>
      </c>
      <c r="P6" s="834">
        <f aca="true" t="shared" si="0" ref="P6:P38">O6-B6</f>
        <v>0</v>
      </c>
    </row>
    <row r="7" spans="1:16" s="835" customFormat="1" ht="12" customHeight="1">
      <c r="A7" s="836" t="s">
        <v>806</v>
      </c>
      <c r="B7" s="832">
        <v>4611371</v>
      </c>
      <c r="C7" s="832"/>
      <c r="D7" s="832">
        <v>46114</v>
      </c>
      <c r="E7" s="832">
        <v>368910</v>
      </c>
      <c r="F7" s="832">
        <v>1106729</v>
      </c>
      <c r="G7" s="832">
        <v>46114</v>
      </c>
      <c r="H7" s="832">
        <v>368910</v>
      </c>
      <c r="I7" s="832">
        <v>0</v>
      </c>
      <c r="J7" s="832">
        <v>46114</v>
      </c>
      <c r="K7" s="832">
        <v>322796</v>
      </c>
      <c r="L7" s="832">
        <v>1337297</v>
      </c>
      <c r="M7" s="832">
        <v>92227</v>
      </c>
      <c r="N7" s="832">
        <v>876160</v>
      </c>
      <c r="O7" s="833">
        <f>SUM(C7:N7)</f>
        <v>4611371</v>
      </c>
      <c r="P7" s="834">
        <f t="shared" si="0"/>
        <v>0</v>
      </c>
    </row>
    <row r="8" spans="1:16" s="835" customFormat="1" ht="12">
      <c r="A8" s="282" t="s">
        <v>238</v>
      </c>
      <c r="B8" s="832">
        <v>3037</v>
      </c>
      <c r="C8" s="832"/>
      <c r="D8" s="832"/>
      <c r="E8" s="832"/>
      <c r="F8" s="832">
        <v>1500</v>
      </c>
      <c r="G8" s="832"/>
      <c r="H8" s="832"/>
      <c r="I8" s="832"/>
      <c r="J8" s="832"/>
      <c r="K8" s="832"/>
      <c r="L8" s="832">
        <v>1537</v>
      </c>
      <c r="M8" s="832"/>
      <c r="N8" s="832"/>
      <c r="O8" s="833">
        <f>SUM(C8:N8)</f>
        <v>3037</v>
      </c>
      <c r="P8" s="834">
        <f t="shared" si="0"/>
        <v>0</v>
      </c>
    </row>
    <row r="9" spans="1:16" s="1214" customFormat="1" ht="12">
      <c r="A9" s="1212" t="s">
        <v>89</v>
      </c>
      <c r="B9" s="833">
        <f>SUM(B6:B8)</f>
        <v>5464408</v>
      </c>
      <c r="C9" s="833">
        <f aca="true" t="shared" si="1" ref="C9:O9">SUM(C6:C8)</f>
        <v>0</v>
      </c>
      <c r="D9" s="833">
        <f t="shared" si="1"/>
        <v>54114</v>
      </c>
      <c r="E9" s="833">
        <f t="shared" si="1"/>
        <v>408910</v>
      </c>
      <c r="F9" s="833">
        <f t="shared" si="1"/>
        <v>1450229</v>
      </c>
      <c r="G9" s="833">
        <f t="shared" si="1"/>
        <v>51114</v>
      </c>
      <c r="H9" s="833">
        <f t="shared" si="1"/>
        <v>373910</v>
      </c>
      <c r="I9" s="833">
        <f t="shared" si="1"/>
        <v>5000</v>
      </c>
      <c r="J9" s="833">
        <f t="shared" si="1"/>
        <v>51114</v>
      </c>
      <c r="K9" s="833">
        <f t="shared" si="1"/>
        <v>327796</v>
      </c>
      <c r="L9" s="833">
        <f t="shared" si="1"/>
        <v>1738834</v>
      </c>
      <c r="M9" s="833">
        <f t="shared" si="1"/>
        <v>97227</v>
      </c>
      <c r="N9" s="833">
        <f t="shared" si="1"/>
        <v>906160</v>
      </c>
      <c r="O9" s="833">
        <f t="shared" si="1"/>
        <v>5464408</v>
      </c>
      <c r="P9" s="1213">
        <f t="shared" si="0"/>
        <v>0</v>
      </c>
    </row>
    <row r="10" spans="1:16" s="835" customFormat="1" ht="12">
      <c r="A10" s="282"/>
      <c r="B10" s="832"/>
      <c r="C10" s="832"/>
      <c r="D10" s="832"/>
      <c r="E10" s="832"/>
      <c r="F10" s="832"/>
      <c r="G10" s="832"/>
      <c r="H10" s="832"/>
      <c r="I10" s="832"/>
      <c r="J10" s="832"/>
      <c r="K10" s="832"/>
      <c r="L10" s="832"/>
      <c r="M10" s="832"/>
      <c r="N10" s="832"/>
      <c r="O10" s="833"/>
      <c r="P10" s="834">
        <f t="shared" si="0"/>
        <v>0</v>
      </c>
    </row>
    <row r="11" spans="1:16" s="835" customFormat="1" ht="12">
      <c r="A11" s="282" t="s">
        <v>573</v>
      </c>
      <c r="B11" s="832">
        <v>247000</v>
      </c>
      <c r="C11" s="832">
        <v>20584</v>
      </c>
      <c r="D11" s="832">
        <v>20584</v>
      </c>
      <c r="E11" s="832">
        <v>20584</v>
      </c>
      <c r="F11" s="832">
        <v>20584</v>
      </c>
      <c r="G11" s="832">
        <v>20584</v>
      </c>
      <c r="H11" s="832">
        <v>20584</v>
      </c>
      <c r="I11" s="832">
        <v>20584</v>
      </c>
      <c r="J11" s="832">
        <v>20584</v>
      </c>
      <c r="K11" s="832">
        <v>20584</v>
      </c>
      <c r="L11" s="832">
        <v>20584</v>
      </c>
      <c r="M11" s="832">
        <v>20580</v>
      </c>
      <c r="N11" s="832">
        <v>20580</v>
      </c>
      <c r="O11" s="833">
        <f>SUM(C11:N11)</f>
        <v>247000</v>
      </c>
      <c r="P11" s="834">
        <f t="shared" si="0"/>
        <v>0</v>
      </c>
    </row>
    <row r="12" spans="1:16" s="835" customFormat="1" ht="12">
      <c r="A12" s="282" t="s">
        <v>574</v>
      </c>
      <c r="B12" s="832">
        <v>12084</v>
      </c>
      <c r="C12" s="832"/>
      <c r="D12" s="832"/>
      <c r="E12" s="832"/>
      <c r="F12" s="832"/>
      <c r="G12" s="832">
        <v>12084</v>
      </c>
      <c r="H12" s="832"/>
      <c r="I12" s="832"/>
      <c r="J12" s="832"/>
      <c r="K12" s="832"/>
      <c r="L12" s="832"/>
      <c r="M12" s="832"/>
      <c r="N12" s="832"/>
      <c r="O12" s="833">
        <f>SUM(C12:N12)</f>
        <v>12084</v>
      </c>
      <c r="P12" s="834">
        <f t="shared" si="0"/>
        <v>0</v>
      </c>
    </row>
    <row r="13" spans="1:16" s="839" customFormat="1" ht="12">
      <c r="A13" s="837" t="s">
        <v>575</v>
      </c>
      <c r="B13" s="838">
        <v>192</v>
      </c>
      <c r="C13" s="832">
        <v>16</v>
      </c>
      <c r="D13" s="832">
        <v>16</v>
      </c>
      <c r="E13" s="832">
        <v>16</v>
      </c>
      <c r="F13" s="832">
        <v>16</v>
      </c>
      <c r="G13" s="832">
        <v>16</v>
      </c>
      <c r="H13" s="832">
        <v>16</v>
      </c>
      <c r="I13" s="832">
        <v>16</v>
      </c>
      <c r="J13" s="832">
        <v>16</v>
      </c>
      <c r="K13" s="832">
        <v>16</v>
      </c>
      <c r="L13" s="832">
        <v>16</v>
      </c>
      <c r="M13" s="832">
        <v>16</v>
      </c>
      <c r="N13" s="832">
        <v>16</v>
      </c>
      <c r="O13" s="833">
        <f>SUM(C13:N13)</f>
        <v>192</v>
      </c>
      <c r="P13" s="834">
        <f t="shared" si="0"/>
        <v>0</v>
      </c>
    </row>
    <row r="14" spans="1:16" s="1214" customFormat="1" ht="12">
      <c r="A14" s="1212" t="s">
        <v>576</v>
      </c>
      <c r="B14" s="1215">
        <f>SUM(B11:B13)</f>
        <v>259276</v>
      </c>
      <c r="C14" s="1215">
        <f aca="true" t="shared" si="2" ref="C14:O14">SUM(C11:C13)</f>
        <v>20600</v>
      </c>
      <c r="D14" s="1215">
        <f t="shared" si="2"/>
        <v>20600</v>
      </c>
      <c r="E14" s="1215">
        <f t="shared" si="2"/>
        <v>20600</v>
      </c>
      <c r="F14" s="1215">
        <f t="shared" si="2"/>
        <v>20600</v>
      </c>
      <c r="G14" s="1215">
        <f t="shared" si="2"/>
        <v>32684</v>
      </c>
      <c r="H14" s="1215">
        <f t="shared" si="2"/>
        <v>20600</v>
      </c>
      <c r="I14" s="1215">
        <f t="shared" si="2"/>
        <v>20600</v>
      </c>
      <c r="J14" s="1215">
        <f t="shared" si="2"/>
        <v>20600</v>
      </c>
      <c r="K14" s="1215">
        <f t="shared" si="2"/>
        <v>20600</v>
      </c>
      <c r="L14" s="1215">
        <f t="shared" si="2"/>
        <v>20600</v>
      </c>
      <c r="M14" s="1215">
        <f t="shared" si="2"/>
        <v>20596</v>
      </c>
      <c r="N14" s="1215">
        <f t="shared" si="2"/>
        <v>20596</v>
      </c>
      <c r="O14" s="1215">
        <f t="shared" si="2"/>
        <v>259276</v>
      </c>
      <c r="P14" s="1213">
        <f t="shared" si="0"/>
        <v>0</v>
      </c>
    </row>
    <row r="15" spans="1:16" s="835" customFormat="1" ht="12">
      <c r="A15" s="282"/>
      <c r="B15" s="841"/>
      <c r="C15" s="832"/>
      <c r="D15" s="832"/>
      <c r="E15" s="832"/>
      <c r="F15" s="832"/>
      <c r="G15" s="832"/>
      <c r="H15" s="832"/>
      <c r="I15" s="832"/>
      <c r="J15" s="832"/>
      <c r="K15" s="832"/>
      <c r="L15" s="832"/>
      <c r="M15" s="832"/>
      <c r="N15" s="832"/>
      <c r="O15" s="833"/>
      <c r="P15" s="834">
        <f t="shared" si="0"/>
        <v>0</v>
      </c>
    </row>
    <row r="16" spans="1:16" s="835" customFormat="1" ht="12">
      <c r="A16" s="282"/>
      <c r="B16" s="832"/>
      <c r="C16" s="832"/>
      <c r="D16" s="832"/>
      <c r="E16" s="832"/>
      <c r="F16" s="832"/>
      <c r="G16" s="832"/>
      <c r="H16" s="832"/>
      <c r="I16" s="832"/>
      <c r="J16" s="832"/>
      <c r="K16" s="832"/>
      <c r="L16" s="832"/>
      <c r="M16" s="832"/>
      <c r="N16" s="832"/>
      <c r="O16" s="833"/>
      <c r="P16" s="834">
        <f t="shared" si="0"/>
        <v>0</v>
      </c>
    </row>
    <row r="17" spans="1:16" s="835" customFormat="1" ht="12">
      <c r="A17" s="282" t="s">
        <v>582</v>
      </c>
      <c r="B17" s="832">
        <v>50000</v>
      </c>
      <c r="C17" s="832"/>
      <c r="D17" s="832"/>
      <c r="E17" s="832">
        <v>12500</v>
      </c>
      <c r="F17" s="832"/>
      <c r="G17" s="832"/>
      <c r="H17" s="832">
        <v>12500</v>
      </c>
      <c r="I17" s="832"/>
      <c r="J17" s="832"/>
      <c r="K17" s="832">
        <v>12500</v>
      </c>
      <c r="L17" s="832"/>
      <c r="M17" s="832"/>
      <c r="N17" s="832">
        <v>12500</v>
      </c>
      <c r="O17" s="833">
        <f>SUM(C17:N17)</f>
        <v>50000</v>
      </c>
      <c r="P17" s="834">
        <f t="shared" si="0"/>
        <v>0</v>
      </c>
    </row>
    <row r="18" spans="1:16" s="835" customFormat="1" ht="12">
      <c r="A18" s="282" t="s">
        <v>583</v>
      </c>
      <c r="B18" s="841">
        <v>8920</v>
      </c>
      <c r="C18" s="841"/>
      <c r="D18" s="841">
        <v>4460</v>
      </c>
      <c r="E18" s="841"/>
      <c r="F18" s="841"/>
      <c r="G18" s="841"/>
      <c r="H18" s="841"/>
      <c r="I18" s="841"/>
      <c r="J18" s="841">
        <v>4460</v>
      </c>
      <c r="K18" s="841"/>
      <c r="L18" s="841"/>
      <c r="M18" s="841"/>
      <c r="N18" s="841"/>
      <c r="O18" s="833">
        <f>SUM(C18:N18)</f>
        <v>8920</v>
      </c>
      <c r="P18" s="834">
        <f t="shared" si="0"/>
        <v>0</v>
      </c>
    </row>
    <row r="19" spans="1:16" s="835" customFormat="1" ht="12">
      <c r="A19" s="282" t="s">
        <v>584</v>
      </c>
      <c r="B19" s="841">
        <v>48000</v>
      </c>
      <c r="C19" s="832">
        <v>4000</v>
      </c>
      <c r="D19" s="832">
        <v>4000</v>
      </c>
      <c r="E19" s="832">
        <v>4000</v>
      </c>
      <c r="F19" s="832">
        <v>4000</v>
      </c>
      <c r="G19" s="832">
        <v>4000</v>
      </c>
      <c r="H19" s="832">
        <v>4000</v>
      </c>
      <c r="I19" s="832">
        <v>4000</v>
      </c>
      <c r="J19" s="832">
        <v>4000</v>
      </c>
      <c r="K19" s="832">
        <v>4000</v>
      </c>
      <c r="L19" s="832">
        <v>4000</v>
      </c>
      <c r="M19" s="832">
        <v>4000</v>
      </c>
      <c r="N19" s="832">
        <v>4000</v>
      </c>
      <c r="O19" s="833">
        <f>SUM(C19:N19)</f>
        <v>48000</v>
      </c>
      <c r="P19" s="834">
        <f t="shared" si="0"/>
        <v>0</v>
      </c>
    </row>
    <row r="20" spans="1:16" s="1214" customFormat="1" ht="12">
      <c r="A20" s="1212" t="s">
        <v>585</v>
      </c>
      <c r="B20" s="846">
        <f>SUM(B17:B19)</f>
        <v>106920</v>
      </c>
      <c r="C20" s="846">
        <f aca="true" t="shared" si="3" ref="C20:O20">SUM(C17:C19)</f>
        <v>4000</v>
      </c>
      <c r="D20" s="846">
        <f t="shared" si="3"/>
        <v>8460</v>
      </c>
      <c r="E20" s="846">
        <f t="shared" si="3"/>
        <v>16500</v>
      </c>
      <c r="F20" s="846">
        <f t="shared" si="3"/>
        <v>4000</v>
      </c>
      <c r="G20" s="846">
        <f t="shared" si="3"/>
        <v>4000</v>
      </c>
      <c r="H20" s="846">
        <f t="shared" si="3"/>
        <v>16500</v>
      </c>
      <c r="I20" s="846">
        <f t="shared" si="3"/>
        <v>4000</v>
      </c>
      <c r="J20" s="846">
        <f t="shared" si="3"/>
        <v>8460</v>
      </c>
      <c r="K20" s="846">
        <f t="shared" si="3"/>
        <v>16500</v>
      </c>
      <c r="L20" s="846">
        <f t="shared" si="3"/>
        <v>4000</v>
      </c>
      <c r="M20" s="846">
        <f t="shared" si="3"/>
        <v>4000</v>
      </c>
      <c r="N20" s="846">
        <f t="shared" si="3"/>
        <v>16500</v>
      </c>
      <c r="O20" s="846">
        <f t="shared" si="3"/>
        <v>106920</v>
      </c>
      <c r="P20" s="1213">
        <f t="shared" si="0"/>
        <v>0</v>
      </c>
    </row>
    <row r="21" spans="1:16" s="843" customFormat="1" ht="12">
      <c r="A21" s="283"/>
      <c r="B21" s="842"/>
      <c r="C21" s="842"/>
      <c r="D21" s="842"/>
      <c r="E21" s="842"/>
      <c r="F21" s="842"/>
      <c r="G21" s="842"/>
      <c r="H21" s="842"/>
      <c r="I21" s="842"/>
      <c r="J21" s="842"/>
      <c r="K21" s="842"/>
      <c r="L21" s="842"/>
      <c r="M21" s="842"/>
      <c r="N21" s="842"/>
      <c r="O21" s="842"/>
      <c r="P21" s="834">
        <f t="shared" si="0"/>
        <v>0</v>
      </c>
    </row>
    <row r="22" spans="1:16" s="844" customFormat="1" ht="12">
      <c r="A22" s="837"/>
      <c r="B22" s="832"/>
      <c r="C22" s="832"/>
      <c r="D22" s="832"/>
      <c r="E22" s="832"/>
      <c r="F22" s="832"/>
      <c r="G22" s="832"/>
      <c r="H22" s="832"/>
      <c r="I22" s="832"/>
      <c r="J22" s="832"/>
      <c r="K22" s="832"/>
      <c r="L22" s="832"/>
      <c r="M22" s="832"/>
      <c r="N22" s="832"/>
      <c r="O22" s="842"/>
      <c r="P22" s="834">
        <f t="shared" si="0"/>
        <v>0</v>
      </c>
    </row>
    <row r="23" spans="1:16" s="847" customFormat="1" ht="15.75" customHeight="1">
      <c r="A23" s="845" t="s">
        <v>577</v>
      </c>
      <c r="B23" s="846"/>
      <c r="C23" s="841"/>
      <c r="D23" s="841"/>
      <c r="E23" s="841"/>
      <c r="F23" s="841"/>
      <c r="G23" s="841"/>
      <c r="H23" s="841"/>
      <c r="I23" s="841"/>
      <c r="J23" s="841"/>
      <c r="K23" s="841"/>
      <c r="L23" s="841"/>
      <c r="M23" s="841"/>
      <c r="N23" s="841"/>
      <c r="O23" s="833"/>
      <c r="P23" s="834">
        <f t="shared" si="0"/>
        <v>0</v>
      </c>
    </row>
    <row r="24" spans="1:16" s="835" customFormat="1" ht="11.25">
      <c r="A24" s="1217" t="s">
        <v>220</v>
      </c>
      <c r="B24" s="1218">
        <v>18700</v>
      </c>
      <c r="C24" s="832">
        <v>0</v>
      </c>
      <c r="D24" s="832">
        <v>0</v>
      </c>
      <c r="E24" s="832">
        <v>4675</v>
      </c>
      <c r="F24" s="832">
        <v>0</v>
      </c>
      <c r="G24" s="832">
        <v>0</v>
      </c>
      <c r="H24" s="832">
        <v>4675</v>
      </c>
      <c r="I24" s="832">
        <v>0</v>
      </c>
      <c r="J24" s="832">
        <v>0</v>
      </c>
      <c r="K24" s="832">
        <v>4675</v>
      </c>
      <c r="L24" s="832">
        <v>0</v>
      </c>
      <c r="M24" s="832">
        <v>0</v>
      </c>
      <c r="N24" s="832">
        <v>4675</v>
      </c>
      <c r="O24" s="832">
        <f aca="true" t="shared" si="4" ref="O24:O34">SUM(C24:N24)</f>
        <v>18700</v>
      </c>
      <c r="P24" s="834">
        <f t="shared" si="0"/>
        <v>0</v>
      </c>
    </row>
    <row r="25" spans="1:16" s="835" customFormat="1" ht="11.25">
      <c r="A25" s="1217" t="s">
        <v>221</v>
      </c>
      <c r="B25" s="1218">
        <v>2500</v>
      </c>
      <c r="C25" s="832">
        <v>0</v>
      </c>
      <c r="D25" s="832">
        <v>0</v>
      </c>
      <c r="E25" s="832">
        <v>0</v>
      </c>
      <c r="F25" s="832">
        <v>0</v>
      </c>
      <c r="G25" s="832">
        <v>0</v>
      </c>
      <c r="H25" s="832">
        <v>0</v>
      </c>
      <c r="I25" s="832">
        <v>0</v>
      </c>
      <c r="J25" s="832">
        <v>2500</v>
      </c>
      <c r="K25" s="832">
        <v>0</v>
      </c>
      <c r="L25" s="832">
        <v>0</v>
      </c>
      <c r="M25" s="832">
        <v>0</v>
      </c>
      <c r="N25" s="832">
        <v>0</v>
      </c>
      <c r="O25" s="832">
        <f t="shared" si="4"/>
        <v>2500</v>
      </c>
      <c r="P25" s="834">
        <f t="shared" si="0"/>
        <v>0</v>
      </c>
    </row>
    <row r="26" spans="1:16" s="835" customFormat="1" ht="11.25">
      <c r="A26" s="1217" t="s">
        <v>345</v>
      </c>
      <c r="B26" s="1218">
        <v>2600</v>
      </c>
      <c r="C26" s="832">
        <v>0</v>
      </c>
      <c r="D26" s="832">
        <v>0</v>
      </c>
      <c r="E26" s="832">
        <v>0</v>
      </c>
      <c r="F26" s="832">
        <v>0</v>
      </c>
      <c r="G26" s="832">
        <v>0</v>
      </c>
      <c r="H26" s="832">
        <v>0</v>
      </c>
      <c r="I26" s="832">
        <v>0</v>
      </c>
      <c r="J26" s="832">
        <v>2600</v>
      </c>
      <c r="K26" s="832">
        <v>0</v>
      </c>
      <c r="L26" s="832">
        <v>0</v>
      </c>
      <c r="M26" s="832">
        <v>0</v>
      </c>
      <c r="N26" s="832">
        <v>0</v>
      </c>
      <c r="O26" s="832">
        <f t="shared" si="4"/>
        <v>2600</v>
      </c>
      <c r="P26" s="834">
        <f t="shared" si="0"/>
        <v>0</v>
      </c>
    </row>
    <row r="27" spans="1:16" s="851" customFormat="1" ht="12">
      <c r="A27" s="1217" t="s">
        <v>222</v>
      </c>
      <c r="B27" s="1218">
        <v>2000</v>
      </c>
      <c r="C27" s="832">
        <v>0</v>
      </c>
      <c r="D27" s="832">
        <v>0</v>
      </c>
      <c r="E27" s="832">
        <v>500</v>
      </c>
      <c r="F27" s="832">
        <v>0</v>
      </c>
      <c r="G27" s="832">
        <v>0</v>
      </c>
      <c r="H27" s="832">
        <v>500</v>
      </c>
      <c r="I27" s="832">
        <v>0</v>
      </c>
      <c r="J27" s="832">
        <v>0</v>
      </c>
      <c r="K27" s="832">
        <v>500</v>
      </c>
      <c r="L27" s="832">
        <v>0</v>
      </c>
      <c r="M27" s="832">
        <v>0</v>
      </c>
      <c r="N27" s="832">
        <v>500</v>
      </c>
      <c r="O27" s="832">
        <f t="shared" si="4"/>
        <v>2000</v>
      </c>
      <c r="P27" s="834">
        <f t="shared" si="0"/>
        <v>0</v>
      </c>
    </row>
    <row r="28" spans="1:16" s="852" customFormat="1" ht="11.25">
      <c r="A28" s="1217" t="s">
        <v>814</v>
      </c>
      <c r="B28" s="1218">
        <v>32500</v>
      </c>
      <c r="C28" s="1216">
        <v>2708</v>
      </c>
      <c r="D28" s="1216">
        <v>2708</v>
      </c>
      <c r="E28" s="1216">
        <v>2708</v>
      </c>
      <c r="F28" s="1216">
        <v>2708</v>
      </c>
      <c r="G28" s="1216">
        <v>2708</v>
      </c>
      <c r="H28" s="1216">
        <v>2708</v>
      </c>
      <c r="I28" s="1216">
        <v>2708</v>
      </c>
      <c r="J28" s="1216">
        <v>2708</v>
      </c>
      <c r="K28" s="1216">
        <v>2708</v>
      </c>
      <c r="L28" s="1216">
        <v>2708</v>
      </c>
      <c r="M28" s="1216">
        <v>2708</v>
      </c>
      <c r="N28" s="1216">
        <v>2712</v>
      </c>
      <c r="O28" s="1216">
        <f t="shared" si="4"/>
        <v>32500</v>
      </c>
      <c r="P28" s="834">
        <f t="shared" si="0"/>
        <v>0</v>
      </c>
    </row>
    <row r="29" spans="1:16" s="835" customFormat="1" ht="11.25">
      <c r="A29" s="1217" t="s">
        <v>223</v>
      </c>
      <c r="B29" s="1218">
        <v>8685</v>
      </c>
      <c r="C29" s="832">
        <v>0</v>
      </c>
      <c r="D29" s="832">
        <v>0</v>
      </c>
      <c r="E29" s="832">
        <v>0</v>
      </c>
      <c r="F29" s="832">
        <v>0</v>
      </c>
      <c r="G29" s="832">
        <v>0</v>
      </c>
      <c r="H29" s="832">
        <v>0</v>
      </c>
      <c r="I29" s="832">
        <v>0</v>
      </c>
      <c r="J29" s="832">
        <v>4342</v>
      </c>
      <c r="K29" s="832">
        <v>0</v>
      </c>
      <c r="L29" s="832">
        <v>0</v>
      </c>
      <c r="M29" s="832">
        <v>0</v>
      </c>
      <c r="N29" s="832">
        <v>4343</v>
      </c>
      <c r="O29" s="832">
        <f t="shared" si="4"/>
        <v>8685</v>
      </c>
      <c r="P29" s="834">
        <f t="shared" si="0"/>
        <v>0</v>
      </c>
    </row>
    <row r="30" spans="1:16" s="835" customFormat="1" ht="11.25">
      <c r="A30" s="1217" t="s">
        <v>224</v>
      </c>
      <c r="B30" s="1200">
        <v>124000</v>
      </c>
      <c r="C30" s="832">
        <v>0</v>
      </c>
      <c r="D30" s="832">
        <v>0</v>
      </c>
      <c r="E30" s="832">
        <v>31000</v>
      </c>
      <c r="F30" s="832">
        <v>0</v>
      </c>
      <c r="G30" s="832">
        <v>0</v>
      </c>
      <c r="H30" s="832">
        <v>31000</v>
      </c>
      <c r="I30" s="832">
        <v>0</v>
      </c>
      <c r="J30" s="832">
        <v>0</v>
      </c>
      <c r="K30" s="832">
        <v>31000</v>
      </c>
      <c r="L30" s="832">
        <v>0</v>
      </c>
      <c r="M30" s="832">
        <v>0</v>
      </c>
      <c r="N30" s="832">
        <v>31000</v>
      </c>
      <c r="O30" s="832">
        <f t="shared" si="4"/>
        <v>124000</v>
      </c>
      <c r="P30" s="834">
        <f t="shared" si="0"/>
        <v>0</v>
      </c>
    </row>
    <row r="31" spans="1:16" s="835" customFormat="1" ht="11.25">
      <c r="A31" s="1217" t="s">
        <v>225</v>
      </c>
      <c r="B31" s="1200">
        <v>1800</v>
      </c>
      <c r="C31" s="832">
        <v>0</v>
      </c>
      <c r="D31" s="832">
        <v>0</v>
      </c>
      <c r="E31" s="832">
        <v>0</v>
      </c>
      <c r="F31" s="832">
        <v>0</v>
      </c>
      <c r="G31" s="832">
        <v>0</v>
      </c>
      <c r="H31" s="832">
        <v>1800</v>
      </c>
      <c r="I31" s="832">
        <v>0</v>
      </c>
      <c r="J31" s="832">
        <v>0</v>
      </c>
      <c r="K31" s="832">
        <v>0</v>
      </c>
      <c r="L31" s="832">
        <v>0</v>
      </c>
      <c r="M31" s="832">
        <v>0</v>
      </c>
      <c r="N31" s="832">
        <v>0</v>
      </c>
      <c r="O31" s="832">
        <f t="shared" si="4"/>
        <v>1800</v>
      </c>
      <c r="P31" s="834">
        <f t="shared" si="0"/>
        <v>0</v>
      </c>
    </row>
    <row r="32" spans="1:16" s="835" customFormat="1" ht="11.25">
      <c r="A32" s="1217" t="s">
        <v>226</v>
      </c>
      <c r="B32" s="1200">
        <v>1500</v>
      </c>
      <c r="C32" s="832">
        <v>0</v>
      </c>
      <c r="D32" s="832">
        <v>0</v>
      </c>
      <c r="E32" s="832">
        <v>0</v>
      </c>
      <c r="F32" s="832">
        <v>0</v>
      </c>
      <c r="G32" s="832">
        <v>0</v>
      </c>
      <c r="H32" s="832">
        <v>0</v>
      </c>
      <c r="I32" s="832">
        <v>1500</v>
      </c>
      <c r="J32" s="832">
        <v>0</v>
      </c>
      <c r="K32" s="832">
        <v>0</v>
      </c>
      <c r="L32" s="832">
        <v>0</v>
      </c>
      <c r="M32" s="832">
        <v>0</v>
      </c>
      <c r="N32" s="832">
        <v>0</v>
      </c>
      <c r="O32" s="832">
        <f t="shared" si="4"/>
        <v>1500</v>
      </c>
      <c r="P32" s="834">
        <f t="shared" si="0"/>
        <v>0</v>
      </c>
    </row>
    <row r="33" spans="1:16" s="1222" customFormat="1" ht="33.75">
      <c r="A33" s="1219" t="s">
        <v>423</v>
      </c>
      <c r="B33" s="1200">
        <v>93688</v>
      </c>
      <c r="C33" s="1220">
        <v>7807</v>
      </c>
      <c r="D33" s="1220">
        <v>7807</v>
      </c>
      <c r="E33" s="1220">
        <v>7807</v>
      </c>
      <c r="F33" s="1220">
        <v>7807</v>
      </c>
      <c r="G33" s="1220">
        <v>7807</v>
      </c>
      <c r="H33" s="1220">
        <v>7807</v>
      </c>
      <c r="I33" s="1220">
        <v>7807</v>
      </c>
      <c r="J33" s="1220">
        <v>7807</v>
      </c>
      <c r="K33" s="1220">
        <v>7807</v>
      </c>
      <c r="L33" s="1220">
        <v>7807</v>
      </c>
      <c r="M33" s="1220">
        <v>7807</v>
      </c>
      <c r="N33" s="1220">
        <v>7811</v>
      </c>
      <c r="O33" s="1220">
        <f t="shared" si="4"/>
        <v>93688</v>
      </c>
      <c r="P33" s="1221">
        <f t="shared" si="0"/>
        <v>0</v>
      </c>
    </row>
    <row r="34" spans="1:16" s="835" customFormat="1" ht="12">
      <c r="A34" s="282" t="s">
        <v>587</v>
      </c>
      <c r="B34" s="832">
        <v>46998</v>
      </c>
      <c r="C34" s="832">
        <v>3916</v>
      </c>
      <c r="D34" s="832">
        <v>3916</v>
      </c>
      <c r="E34" s="832">
        <v>3916</v>
      </c>
      <c r="F34" s="832">
        <v>3916</v>
      </c>
      <c r="G34" s="832">
        <v>3916</v>
      </c>
      <c r="H34" s="832">
        <v>3916</v>
      </c>
      <c r="I34" s="832">
        <v>3916</v>
      </c>
      <c r="J34" s="832">
        <v>3916</v>
      </c>
      <c r="K34" s="832">
        <v>3916</v>
      </c>
      <c r="L34" s="832">
        <v>3916</v>
      </c>
      <c r="M34" s="832">
        <v>3916</v>
      </c>
      <c r="N34" s="832">
        <v>3922</v>
      </c>
      <c r="O34" s="832">
        <f t="shared" si="4"/>
        <v>46998</v>
      </c>
      <c r="P34" s="834">
        <f t="shared" si="0"/>
        <v>0</v>
      </c>
    </row>
    <row r="35" spans="1:16" s="835" customFormat="1" ht="12">
      <c r="A35" s="282" t="s">
        <v>586</v>
      </c>
      <c r="B35" s="832">
        <v>10409</v>
      </c>
      <c r="C35" s="832">
        <v>867</v>
      </c>
      <c r="D35" s="832">
        <v>867</v>
      </c>
      <c r="E35" s="832">
        <v>867</v>
      </c>
      <c r="F35" s="832">
        <v>867</v>
      </c>
      <c r="G35" s="832">
        <v>867</v>
      </c>
      <c r="H35" s="832">
        <v>867</v>
      </c>
      <c r="I35" s="832">
        <v>867</v>
      </c>
      <c r="J35" s="832">
        <v>867</v>
      </c>
      <c r="K35" s="832">
        <v>867</v>
      </c>
      <c r="L35" s="832">
        <v>867</v>
      </c>
      <c r="M35" s="832">
        <v>867</v>
      </c>
      <c r="N35" s="832">
        <v>872</v>
      </c>
      <c r="O35" s="832">
        <f>SUM(C35:N35)</f>
        <v>10409</v>
      </c>
      <c r="P35" s="834">
        <f t="shared" si="0"/>
        <v>0</v>
      </c>
    </row>
    <row r="36" spans="1:16" s="835" customFormat="1" ht="12">
      <c r="A36" s="282" t="s">
        <v>359</v>
      </c>
      <c r="B36" s="832">
        <v>2000</v>
      </c>
      <c r="C36" s="832">
        <v>0</v>
      </c>
      <c r="D36" s="832">
        <v>0</v>
      </c>
      <c r="E36" s="832">
        <v>0</v>
      </c>
      <c r="F36" s="832">
        <v>0</v>
      </c>
      <c r="G36" s="832"/>
      <c r="H36" s="832">
        <v>0</v>
      </c>
      <c r="I36" s="832">
        <v>1000</v>
      </c>
      <c r="J36" s="832">
        <v>0</v>
      </c>
      <c r="K36" s="832">
        <v>1000</v>
      </c>
      <c r="L36" s="832">
        <v>0</v>
      </c>
      <c r="M36" s="832">
        <v>0</v>
      </c>
      <c r="N36" s="832">
        <v>0</v>
      </c>
      <c r="O36" s="832">
        <f>SUM(C36:N36)</f>
        <v>2000</v>
      </c>
      <c r="P36" s="834">
        <f t="shared" si="0"/>
        <v>0</v>
      </c>
    </row>
    <row r="37" spans="1:16" s="835" customFormat="1" ht="12">
      <c r="A37" s="282" t="s">
        <v>308</v>
      </c>
      <c r="B37" s="832">
        <v>1179</v>
      </c>
      <c r="C37" s="832">
        <v>98</v>
      </c>
      <c r="D37" s="832">
        <v>98</v>
      </c>
      <c r="E37" s="832">
        <v>98</v>
      </c>
      <c r="F37" s="832">
        <v>98</v>
      </c>
      <c r="G37" s="832">
        <v>98</v>
      </c>
      <c r="H37" s="832">
        <v>98</v>
      </c>
      <c r="I37" s="832">
        <v>98</v>
      </c>
      <c r="J37" s="832">
        <v>98</v>
      </c>
      <c r="K37" s="832">
        <v>98</v>
      </c>
      <c r="L37" s="832">
        <v>98</v>
      </c>
      <c r="M37" s="832">
        <v>98</v>
      </c>
      <c r="N37" s="832">
        <v>101</v>
      </c>
      <c r="O37" s="832">
        <f>SUM(C37:N37)</f>
        <v>1179</v>
      </c>
      <c r="P37" s="834"/>
    </row>
    <row r="38" spans="1:16" s="835" customFormat="1" ht="12">
      <c r="A38" s="282" t="s">
        <v>274</v>
      </c>
      <c r="B38" s="832">
        <f>SUM(B24:B37)</f>
        <v>348559</v>
      </c>
      <c r="C38" s="832">
        <f>SUM(C24:C37)</f>
        <v>15396</v>
      </c>
      <c r="D38" s="832">
        <f aca="true" t="shared" si="5" ref="D38:O38">SUM(D24:D37)</f>
        <v>15396</v>
      </c>
      <c r="E38" s="832">
        <f t="shared" si="5"/>
        <v>51571</v>
      </c>
      <c r="F38" s="832">
        <f t="shared" si="5"/>
        <v>15396</v>
      </c>
      <c r="G38" s="832">
        <f t="shared" si="5"/>
        <v>15396</v>
      </c>
      <c r="H38" s="832">
        <f t="shared" si="5"/>
        <v>53371</v>
      </c>
      <c r="I38" s="832">
        <f t="shared" si="5"/>
        <v>17896</v>
      </c>
      <c r="J38" s="832">
        <f t="shared" si="5"/>
        <v>24838</v>
      </c>
      <c r="K38" s="832">
        <f t="shared" si="5"/>
        <v>52571</v>
      </c>
      <c r="L38" s="832">
        <f t="shared" si="5"/>
        <v>15396</v>
      </c>
      <c r="M38" s="832">
        <f t="shared" si="5"/>
        <v>15396</v>
      </c>
      <c r="N38" s="832">
        <f t="shared" si="5"/>
        <v>55936</v>
      </c>
      <c r="O38" s="832">
        <f t="shared" si="5"/>
        <v>348559</v>
      </c>
      <c r="P38" s="834">
        <f t="shared" si="0"/>
        <v>0</v>
      </c>
    </row>
    <row r="39" ht="12.75">
      <c r="B39" s="853"/>
    </row>
    <row r="40" ht="12.75">
      <c r="O40" s="853"/>
    </row>
  </sheetData>
  <mergeCells count="1">
    <mergeCell ref="A1:P1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1"/>
  <headerFooter alignWithMargins="0">
    <oddHeader>&amp;R&amp;"Times New Roman CE,Normál"8.számú melléklet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3:E75"/>
  <sheetViews>
    <sheetView workbookViewId="0" topLeftCell="A61">
      <selection activeCell="A74" sqref="A74"/>
    </sheetView>
  </sheetViews>
  <sheetFormatPr defaultColWidth="9.140625" defaultRowHeight="12.75"/>
  <cols>
    <col min="1" max="1" width="5.8515625" style="41" customWidth="1"/>
    <col min="2" max="2" width="39.140625" style="40" customWidth="1"/>
    <col min="3" max="3" width="11.8515625" style="523" customWidth="1"/>
    <col min="4" max="4" width="10.28125" style="523" customWidth="1"/>
    <col min="5" max="5" width="12.00390625" style="523" customWidth="1"/>
    <col min="6" max="16384" width="9.140625" style="61" customWidth="1"/>
  </cols>
  <sheetData>
    <row r="3" spans="1:5" ht="15.75">
      <c r="A3" s="26" t="s">
        <v>426</v>
      </c>
      <c r="B3" s="689"/>
      <c r="C3" s="690"/>
      <c r="D3" s="690"/>
      <c r="E3" s="690"/>
    </row>
    <row r="4" spans="1:5" ht="15.75">
      <c r="A4" s="26" t="s">
        <v>924</v>
      </c>
      <c r="B4" s="689"/>
      <c r="C4" s="690"/>
      <c r="D4" s="690"/>
      <c r="E4" s="690"/>
    </row>
    <row r="5" spans="1:5" ht="15.75">
      <c r="A5" s="26"/>
      <c r="B5" s="689"/>
      <c r="C5" s="690"/>
      <c r="D5" s="690"/>
      <c r="E5" s="690"/>
    </row>
    <row r="6" ht="12.75">
      <c r="A6" s="43"/>
    </row>
    <row r="7" ht="12" customHeight="1">
      <c r="E7" s="41" t="s">
        <v>128</v>
      </c>
    </row>
    <row r="8" spans="1:5" s="1283" customFormat="1" ht="36.75" customHeight="1">
      <c r="A8" s="656" t="s">
        <v>169</v>
      </c>
      <c r="B8" s="656" t="s">
        <v>129</v>
      </c>
      <c r="C8" s="1090" t="s">
        <v>249</v>
      </c>
      <c r="D8" s="647" t="s">
        <v>1012</v>
      </c>
      <c r="E8" s="647" t="s">
        <v>873</v>
      </c>
    </row>
    <row r="9" spans="1:5" ht="9.75" customHeight="1">
      <c r="A9" s="31" t="s">
        <v>524</v>
      </c>
      <c r="B9" s="32" t="s">
        <v>525</v>
      </c>
      <c r="C9" s="32" t="s">
        <v>731</v>
      </c>
      <c r="D9" s="32"/>
      <c r="E9" s="32"/>
    </row>
    <row r="10" spans="1:5" ht="12.75" customHeight="1">
      <c r="A10" s="42" t="s">
        <v>524</v>
      </c>
      <c r="B10" s="38" t="s">
        <v>400</v>
      </c>
      <c r="C10" s="391">
        <f>SUM('[1]3.számú melléklet'!F34+'[1]4.számú melléklet'!F56)</f>
        <v>25500</v>
      </c>
      <c r="D10" s="391">
        <f>ROUND(C10*1.033,0)</f>
        <v>26342</v>
      </c>
      <c r="E10" s="391">
        <f>ROUND(D10*1.03,0)</f>
        <v>27132</v>
      </c>
    </row>
    <row r="11" spans="1:5" s="381" customFormat="1" ht="24" customHeight="1">
      <c r="A11" s="471" t="s">
        <v>525</v>
      </c>
      <c r="B11" s="472" t="s">
        <v>791</v>
      </c>
      <c r="C11" s="548">
        <f>SUM('[1]3.számú melléklet'!F35+'[1]4.számú melléklet'!F57)</f>
        <v>549392</v>
      </c>
      <c r="D11" s="548">
        <f>ROUND(C11*1.033,0)</f>
        <v>567522</v>
      </c>
      <c r="E11" s="548">
        <f>ROUND(D11*1.03,0)</f>
        <v>584548</v>
      </c>
    </row>
    <row r="12" spans="1:5" s="381" customFormat="1" ht="12" customHeight="1">
      <c r="A12" s="475"/>
      <c r="B12" s="476" t="s">
        <v>396</v>
      </c>
      <c r="C12" s="549">
        <f>SUM('[1]3.számú melléklet'!F36)</f>
        <v>4700</v>
      </c>
      <c r="D12" s="631">
        <v>0</v>
      </c>
      <c r="E12" s="631">
        <v>0</v>
      </c>
    </row>
    <row r="13" spans="1:5" ht="12.75">
      <c r="A13" s="42" t="s">
        <v>526</v>
      </c>
      <c r="B13" s="333" t="s">
        <v>726</v>
      </c>
      <c r="C13" s="391">
        <f>SUM('[1]3.számú melléklet'!F37+'[1]4.számú melléklet'!F58)</f>
        <v>28602</v>
      </c>
      <c r="D13" s="391"/>
      <c r="E13" s="391"/>
    </row>
    <row r="14" spans="1:5" ht="12.75">
      <c r="A14" s="42" t="s">
        <v>729</v>
      </c>
      <c r="B14" s="38" t="s">
        <v>607</v>
      </c>
      <c r="C14" s="391">
        <f>SUM('[1]3.számú melléklet'!F38+'[1]4.számú melléklet'!F59)</f>
        <v>355358</v>
      </c>
      <c r="D14" s="391">
        <v>300000</v>
      </c>
      <c r="E14" s="391">
        <v>200000</v>
      </c>
    </row>
    <row r="15" spans="1:5" ht="12.75">
      <c r="A15" s="42" t="s">
        <v>730</v>
      </c>
      <c r="B15" s="38" t="s">
        <v>553</v>
      </c>
      <c r="C15" s="391">
        <f>SUM('[1]3.számú melléklet'!F39+'[1]4.számú melléklet'!F60)</f>
        <v>186619</v>
      </c>
      <c r="D15" s="459">
        <f>ROUND(C15*1.033,0)</f>
        <v>192777</v>
      </c>
      <c r="E15" s="391">
        <f>ROUND(D15*1.03,0)</f>
        <v>198560</v>
      </c>
    </row>
    <row r="16" spans="1:5" s="2" customFormat="1" ht="13.5">
      <c r="A16" s="113" t="s">
        <v>805</v>
      </c>
      <c r="B16" s="114" t="s">
        <v>790</v>
      </c>
      <c r="C16" s="512">
        <f>SUM(C10:C15)-C12</f>
        <v>1145471</v>
      </c>
      <c r="D16" s="512">
        <f>SUM(D10:D15)-D12</f>
        <v>1086641</v>
      </c>
      <c r="E16" s="512">
        <f>SUM(E10:E15)-E12</f>
        <v>1010240</v>
      </c>
    </row>
    <row r="17" spans="1:5" ht="12.75">
      <c r="A17" s="42" t="s">
        <v>731</v>
      </c>
      <c r="B17" s="38" t="s">
        <v>391</v>
      </c>
      <c r="C17" s="391">
        <v>850000</v>
      </c>
      <c r="D17" s="459">
        <f>ROUND(C17*1.033,0)</f>
        <v>878050</v>
      </c>
      <c r="E17" s="391">
        <f>ROUND(D17*1.03,0)</f>
        <v>904392</v>
      </c>
    </row>
    <row r="18" spans="1:5" ht="12.75">
      <c r="A18" s="42" t="s">
        <v>732</v>
      </c>
      <c r="B18" s="38" t="s">
        <v>806</v>
      </c>
      <c r="C18" s="391">
        <v>4611371</v>
      </c>
      <c r="D18" s="391">
        <v>4500000</v>
      </c>
      <c r="E18" s="391">
        <v>4000000</v>
      </c>
    </row>
    <row r="19" spans="1:5" ht="12.75">
      <c r="A19" s="42" t="s">
        <v>733</v>
      </c>
      <c r="B19" s="38" t="s">
        <v>438</v>
      </c>
      <c r="C19" s="391">
        <v>3037</v>
      </c>
      <c r="D19" s="391">
        <v>3000</v>
      </c>
      <c r="E19" s="391">
        <v>3000</v>
      </c>
    </row>
    <row r="20" spans="1:5" s="2" customFormat="1" ht="13.5">
      <c r="A20" s="113" t="s">
        <v>807</v>
      </c>
      <c r="B20" s="114" t="s">
        <v>772</v>
      </c>
      <c r="C20" s="512">
        <f>SUM('[1]4.számú melléklet'!F61)</f>
        <v>5464408</v>
      </c>
      <c r="D20" s="512">
        <f>SUM(D17:D19)</f>
        <v>5381050</v>
      </c>
      <c r="E20" s="512">
        <f>SUM(E17:E19)</f>
        <v>4907392</v>
      </c>
    </row>
    <row r="21" spans="1:5" ht="12.75">
      <c r="A21" s="42" t="s">
        <v>734</v>
      </c>
      <c r="B21" s="38" t="s">
        <v>808</v>
      </c>
      <c r="C21" s="391">
        <v>934842</v>
      </c>
      <c r="D21" s="391">
        <f>C21*1.026</f>
        <v>959147.892</v>
      </c>
      <c r="E21" s="391">
        <f>D21*1.042</f>
        <v>999432.103464</v>
      </c>
    </row>
    <row r="22" spans="1:5" ht="12.75">
      <c r="A22" s="42" t="s">
        <v>735</v>
      </c>
      <c r="B22" s="38" t="s">
        <v>92</v>
      </c>
      <c r="C22" s="391">
        <v>406447</v>
      </c>
      <c r="D22" s="391">
        <f>C22*1.026</f>
        <v>417014.62200000003</v>
      </c>
      <c r="E22" s="391">
        <f>D22*1.042</f>
        <v>434529.23612400005</v>
      </c>
    </row>
    <row r="23" spans="1:5" ht="12.75">
      <c r="A23" s="42" t="s">
        <v>736</v>
      </c>
      <c r="B23" s="38" t="s">
        <v>809</v>
      </c>
      <c r="C23" s="391">
        <v>400000</v>
      </c>
      <c r="D23" s="391">
        <f>C23*1</f>
        <v>400000</v>
      </c>
      <c r="E23" s="391">
        <f>D23*1.018</f>
        <v>407200</v>
      </c>
    </row>
    <row r="24" spans="1:5" s="2" customFormat="1" ht="13.5">
      <c r="A24" s="113" t="s">
        <v>810</v>
      </c>
      <c r="B24" s="114" t="s">
        <v>773</v>
      </c>
      <c r="C24" s="512">
        <f>SUM(C21:C23)</f>
        <v>1741289</v>
      </c>
      <c r="D24" s="512">
        <f>SUM(D21:D23)</f>
        <v>1776162.514</v>
      </c>
      <c r="E24" s="512">
        <f>SUM(E21:E23)</f>
        <v>1841161.339588</v>
      </c>
    </row>
    <row r="25" spans="1:5" s="369" customFormat="1" ht="27">
      <c r="A25" s="117" t="s">
        <v>326</v>
      </c>
      <c r="B25" s="367" t="s">
        <v>512</v>
      </c>
      <c r="C25" s="513">
        <f>SUM('[1]4.számú melléklet'!F63)</f>
        <v>0</v>
      </c>
      <c r="D25" s="513">
        <v>0</v>
      </c>
      <c r="E25" s="513">
        <v>0</v>
      </c>
    </row>
    <row r="26" spans="1:5" ht="12.75">
      <c r="A26" s="42" t="s">
        <v>737</v>
      </c>
      <c r="B26" s="38" t="s">
        <v>1013</v>
      </c>
      <c r="C26" s="391">
        <v>222900</v>
      </c>
      <c r="D26" s="459">
        <f>ROUND(C26*1.033,0)</f>
        <v>230256</v>
      </c>
      <c r="E26" s="391">
        <f>ROUND(D26*1.03,0)</f>
        <v>237164</v>
      </c>
    </row>
    <row r="27" spans="1:5" ht="12.75">
      <c r="A27" s="42" t="s">
        <v>738</v>
      </c>
      <c r="B27" s="38" t="s">
        <v>387</v>
      </c>
      <c r="C27" s="391">
        <v>62600</v>
      </c>
      <c r="D27" s="391">
        <f>C27*1.033</f>
        <v>64665.799999999996</v>
      </c>
      <c r="E27" s="391">
        <f>ROUND(D27*1.03,0)</f>
        <v>66606</v>
      </c>
    </row>
    <row r="28" spans="1:5" ht="12.75">
      <c r="A28" s="42" t="s">
        <v>811</v>
      </c>
      <c r="B28" s="38" t="s">
        <v>701</v>
      </c>
      <c r="C28" s="391">
        <v>311000</v>
      </c>
      <c r="D28" s="391">
        <f>C28*1.033</f>
        <v>321263</v>
      </c>
      <c r="E28" s="391">
        <f>ROUND(D28*1.03,0)</f>
        <v>330901</v>
      </c>
    </row>
    <row r="29" spans="1:5" ht="12.75">
      <c r="A29" s="42" t="s">
        <v>812</v>
      </c>
      <c r="B29" s="38" t="s">
        <v>324</v>
      </c>
      <c r="C29" s="391">
        <v>40000</v>
      </c>
      <c r="D29" s="391">
        <f>C29*1.033</f>
        <v>41320</v>
      </c>
      <c r="E29" s="391">
        <f>ROUND(D29*1.03,0)</f>
        <v>42560</v>
      </c>
    </row>
    <row r="30" spans="1:5" ht="12.75">
      <c r="A30" s="42" t="s">
        <v>325</v>
      </c>
      <c r="B30" s="38" t="s">
        <v>91</v>
      </c>
      <c r="C30" s="391">
        <v>0</v>
      </c>
      <c r="D30" s="391"/>
      <c r="E30" s="391"/>
    </row>
    <row r="31" spans="1:5" ht="12.75">
      <c r="A31" s="42" t="s">
        <v>329</v>
      </c>
      <c r="B31" s="38" t="s">
        <v>314</v>
      </c>
      <c r="C31" s="391">
        <v>0</v>
      </c>
      <c r="D31" s="391"/>
      <c r="E31" s="391"/>
    </row>
    <row r="32" spans="1:5" s="2" customFormat="1" ht="12.75" customHeight="1">
      <c r="A32" s="113" t="s">
        <v>328</v>
      </c>
      <c r="B32" s="114" t="s">
        <v>440</v>
      </c>
      <c r="C32" s="512">
        <f>SUM('[1]4.számú melléklet'!F64)</f>
        <v>636500</v>
      </c>
      <c r="D32" s="512">
        <f>SUM(D26:D31)</f>
        <v>657504.8</v>
      </c>
      <c r="E32" s="512">
        <f>SUM(E26:E31)</f>
        <v>677231</v>
      </c>
    </row>
    <row r="33" spans="1:5" s="369" customFormat="1" ht="25.5" customHeight="1">
      <c r="A33" s="117" t="s">
        <v>327</v>
      </c>
      <c r="B33" s="367" t="s">
        <v>536</v>
      </c>
      <c r="C33" s="513">
        <f>SUM(C20,C24,C32,C25)</f>
        <v>7842197</v>
      </c>
      <c r="D33" s="513">
        <f>SUM(D20,D24,D25,D32)</f>
        <v>7814717.314</v>
      </c>
      <c r="E33" s="513">
        <f>SUM(E20,E24,E25,E32)</f>
        <v>7425784.3395879995</v>
      </c>
    </row>
    <row r="34" spans="1:5" s="187" customFormat="1" ht="25.5">
      <c r="A34" s="55" t="s">
        <v>333</v>
      </c>
      <c r="B34" s="370" t="s">
        <v>347</v>
      </c>
      <c r="C34" s="442">
        <v>12276</v>
      </c>
      <c r="D34" s="442">
        <v>10000</v>
      </c>
      <c r="E34" s="442">
        <v>10000</v>
      </c>
    </row>
    <row r="35" spans="1:5" ht="12.75">
      <c r="A35" s="42" t="s">
        <v>331</v>
      </c>
      <c r="B35" s="38" t="s">
        <v>330</v>
      </c>
      <c r="C35" s="391">
        <v>247000</v>
      </c>
      <c r="D35" s="391">
        <f>C35*1</f>
        <v>247000</v>
      </c>
      <c r="E35" s="391">
        <f>D35*1.018</f>
        <v>251446</v>
      </c>
    </row>
    <row r="36" spans="1:5" ht="12.75">
      <c r="A36" s="42" t="s">
        <v>332</v>
      </c>
      <c r="B36" s="38" t="s">
        <v>698</v>
      </c>
      <c r="C36" s="391">
        <v>0</v>
      </c>
      <c r="D36" s="391">
        <v>0</v>
      </c>
      <c r="E36" s="391">
        <v>0</v>
      </c>
    </row>
    <row r="37" spans="1:5" s="369" customFormat="1" ht="27">
      <c r="A37" s="117" t="s">
        <v>337</v>
      </c>
      <c r="B37" s="367" t="s">
        <v>439</v>
      </c>
      <c r="C37" s="513">
        <f>SUM(C35:C36)</f>
        <v>247000</v>
      </c>
      <c r="D37" s="513">
        <f>SUM(D35:D36)</f>
        <v>247000</v>
      </c>
      <c r="E37" s="513">
        <f>SUM(E35:E36)</f>
        <v>251446</v>
      </c>
    </row>
    <row r="38" spans="1:5" s="2" customFormat="1" ht="13.5">
      <c r="A38" s="113" t="s">
        <v>542</v>
      </c>
      <c r="B38" s="114" t="s">
        <v>792</v>
      </c>
      <c r="C38" s="512">
        <v>0</v>
      </c>
      <c r="D38" s="512">
        <v>0</v>
      </c>
      <c r="E38" s="512">
        <v>0</v>
      </c>
    </row>
    <row r="39" spans="1:5" s="369" customFormat="1" ht="25.5" customHeight="1">
      <c r="A39" s="117" t="s">
        <v>338</v>
      </c>
      <c r="B39" s="367" t="s">
        <v>543</v>
      </c>
      <c r="C39" s="513">
        <f>SUM('[1]3.számú melléklet'!F46+'[1]4.számú melléklet'!F73)</f>
        <v>259276</v>
      </c>
      <c r="D39" s="513">
        <f>SUM(D34,D37,D38)</f>
        <v>257000</v>
      </c>
      <c r="E39" s="513">
        <f>SUM(E34,E37,E38)</f>
        <v>261446</v>
      </c>
    </row>
    <row r="40" spans="1:5" ht="12.75">
      <c r="A40" s="42" t="s">
        <v>334</v>
      </c>
      <c r="B40" s="38" t="s">
        <v>513</v>
      </c>
      <c r="C40" s="391">
        <v>2545676</v>
      </c>
      <c r="D40" s="391">
        <f>C40*1.026</f>
        <v>2611863.576</v>
      </c>
      <c r="E40" s="391">
        <f>ROUND(D40*1.042,0)</f>
        <v>2721562</v>
      </c>
    </row>
    <row r="41" spans="1:5" s="381" customFormat="1" ht="25.5">
      <c r="A41" s="56" t="s">
        <v>335</v>
      </c>
      <c r="B41" s="374" t="s">
        <v>678</v>
      </c>
      <c r="C41" s="459">
        <v>134565</v>
      </c>
      <c r="D41" s="459">
        <f>C41*1.026</f>
        <v>138063.69</v>
      </c>
      <c r="E41" s="459">
        <f>ROUND(D41*1.042,0)</f>
        <v>143862</v>
      </c>
    </row>
    <row r="42" spans="1:5" s="381" customFormat="1" ht="25.5">
      <c r="A42" s="56" t="s">
        <v>336</v>
      </c>
      <c r="B42" s="374" t="s">
        <v>938</v>
      </c>
      <c r="C42" s="459">
        <v>116752</v>
      </c>
      <c r="D42" s="459">
        <f>C42*1.026</f>
        <v>119787.552</v>
      </c>
      <c r="E42" s="391">
        <f>ROUND(D42*1.042,0)</f>
        <v>124819</v>
      </c>
    </row>
    <row r="43" spans="1:5" ht="12.75">
      <c r="A43" s="42" t="s">
        <v>339</v>
      </c>
      <c r="B43" s="151" t="s">
        <v>616</v>
      </c>
      <c r="C43" s="391">
        <v>4480</v>
      </c>
      <c r="D43" s="391">
        <f>C43*1.026</f>
        <v>4596.4800000000005</v>
      </c>
      <c r="E43" s="391">
        <f>ROUND(D43*1.042,0)</f>
        <v>4790</v>
      </c>
    </row>
    <row r="44" spans="1:5" ht="12.75" customHeight="1">
      <c r="A44" s="42" t="s">
        <v>599</v>
      </c>
      <c r="B44" s="38" t="s">
        <v>949</v>
      </c>
      <c r="C44" s="391">
        <v>0</v>
      </c>
      <c r="D44" s="391"/>
      <c r="E44" s="391"/>
    </row>
    <row r="45" spans="1:5" s="2" customFormat="1" ht="12.75" customHeight="1">
      <c r="A45" s="113" t="s">
        <v>601</v>
      </c>
      <c r="B45" s="114" t="s">
        <v>441</v>
      </c>
      <c r="C45" s="512">
        <f>SUM(C40:C43)</f>
        <v>2801473</v>
      </c>
      <c r="D45" s="512">
        <f>SUM(D40:D44)</f>
        <v>2874311.298</v>
      </c>
      <c r="E45" s="512">
        <f>SUM(E40:E44)</f>
        <v>2995033</v>
      </c>
    </row>
    <row r="46" spans="1:5" s="2" customFormat="1" ht="12.75" customHeight="1">
      <c r="A46" s="1290"/>
      <c r="B46" s="1291"/>
      <c r="C46" s="1292"/>
      <c r="D46" s="1292"/>
      <c r="E46" s="1292"/>
    </row>
    <row r="47" spans="1:5" ht="12.75">
      <c r="A47" s="42" t="s">
        <v>600</v>
      </c>
      <c r="B47" s="38" t="s">
        <v>603</v>
      </c>
      <c r="C47" s="391">
        <v>103549</v>
      </c>
      <c r="D47" s="391">
        <f>C47*1</f>
        <v>103549</v>
      </c>
      <c r="E47" s="391">
        <f>D47*1.018</f>
        <v>105412.882</v>
      </c>
    </row>
    <row r="48" spans="1:5" ht="12.75">
      <c r="A48" s="1355" t="s">
        <v>602</v>
      </c>
      <c r="B48" s="584" t="s">
        <v>118</v>
      </c>
      <c r="C48" s="627">
        <v>803064</v>
      </c>
      <c r="D48" s="627">
        <f>C48*1.026</f>
        <v>823943.664</v>
      </c>
      <c r="E48" s="627">
        <f>ROUND(D48*1.042,0)</f>
        <v>858549</v>
      </c>
    </row>
    <row r="49" spans="1:5" ht="12.75">
      <c r="A49" s="1394"/>
      <c r="B49" s="585" t="s">
        <v>668</v>
      </c>
      <c r="C49" s="631">
        <v>39375</v>
      </c>
      <c r="D49" s="1284">
        <f>C49*1.026</f>
        <v>40398.75</v>
      </c>
      <c r="E49" s="631">
        <f>ROUND(D49*1.042,0)</f>
        <v>42095</v>
      </c>
    </row>
    <row r="50" spans="1:5" s="381" customFormat="1" ht="25.5">
      <c r="A50" s="471" t="s">
        <v>604</v>
      </c>
      <c r="B50" s="472" t="s">
        <v>192</v>
      </c>
      <c r="C50" s="548">
        <v>13420</v>
      </c>
      <c r="D50" s="548">
        <f>C50*0.967</f>
        <v>12977.14</v>
      </c>
      <c r="E50" s="548">
        <f>D50*1.016</f>
        <v>13184.774239999999</v>
      </c>
    </row>
    <row r="51" spans="1:5" s="381" customFormat="1" ht="12.75">
      <c r="A51" s="475"/>
      <c r="B51" s="585" t="s">
        <v>447</v>
      </c>
      <c r="C51" s="549">
        <v>0</v>
      </c>
      <c r="D51" s="1285">
        <f>C51*0.967</f>
        <v>0</v>
      </c>
      <c r="E51" s="1285">
        <f>D51*1.016</f>
        <v>0</v>
      </c>
    </row>
    <row r="52" spans="1:5" s="381" customFormat="1" ht="25.5">
      <c r="A52" s="56" t="s">
        <v>119</v>
      </c>
      <c r="B52" s="374" t="s">
        <v>702</v>
      </c>
      <c r="C52" s="459">
        <v>258</v>
      </c>
      <c r="D52" s="548">
        <f>C52*0.967</f>
        <v>249.486</v>
      </c>
      <c r="E52" s="548">
        <f>D52*1.016</f>
        <v>253.477776</v>
      </c>
    </row>
    <row r="53" spans="1:5" s="2" customFormat="1" ht="25.5" customHeight="1">
      <c r="A53" s="117" t="s">
        <v>545</v>
      </c>
      <c r="B53" s="367" t="s">
        <v>442</v>
      </c>
      <c r="C53" s="25">
        <f>SUM('[1]3.számú melléklet'!F40+'[1]3.számú melléklet'!F42+'[1]4.számú melléklet'!F65+'[1]4.számú melléklet'!F67)</f>
        <v>920291</v>
      </c>
      <c r="D53" s="25">
        <f>SUM(D47:D52)-D49</f>
        <v>940719.29</v>
      </c>
      <c r="E53" s="25">
        <f>SUM(E47:E52)-E49</f>
        <v>977400.134016</v>
      </c>
    </row>
    <row r="54" spans="1:5" ht="12.75" customHeight="1">
      <c r="A54" s="633" t="s">
        <v>120</v>
      </c>
      <c r="B54" s="584" t="s">
        <v>194</v>
      </c>
      <c r="C54" s="627">
        <f>SUM('[1]3.számú melléklet'!F43+'[1]4.számú melléklet'!F70)</f>
        <v>0</v>
      </c>
      <c r="D54" s="627">
        <v>0</v>
      </c>
      <c r="E54" s="627">
        <v>0</v>
      </c>
    </row>
    <row r="55" spans="1:5" ht="12.75" customHeight="1">
      <c r="A55" s="635"/>
      <c r="B55" s="585" t="s">
        <v>447</v>
      </c>
      <c r="C55" s="631">
        <f>SUM('[1]3.számú melléklet'!F44+'[1]4.számú melléklet'!F71)</f>
        <v>0</v>
      </c>
      <c r="D55" s="631">
        <v>0</v>
      </c>
      <c r="E55" s="631">
        <v>0</v>
      </c>
    </row>
    <row r="56" spans="1:5" s="381" customFormat="1" ht="25.5" customHeight="1">
      <c r="A56" s="443" t="s">
        <v>121</v>
      </c>
      <c r="B56" s="374" t="s">
        <v>703</v>
      </c>
      <c r="C56" s="459">
        <f>SUM('[1]3.számú melléklet'!F45+'[1]4.számú melléklet'!F72)</f>
        <v>0</v>
      </c>
      <c r="D56" s="459">
        <v>0</v>
      </c>
      <c r="E56" s="459">
        <v>0</v>
      </c>
    </row>
    <row r="57" spans="1:5" s="2" customFormat="1" ht="24.75" customHeight="1">
      <c r="A57" s="117" t="s">
        <v>805</v>
      </c>
      <c r="B57" s="367" t="s">
        <v>443</v>
      </c>
      <c r="C57" s="25">
        <f>SUM(C54,C56)</f>
        <v>0</v>
      </c>
      <c r="D57" s="25">
        <f>SUM(D54:D56)</f>
        <v>0</v>
      </c>
      <c r="E57" s="25">
        <f>SUM(E54:E56)</f>
        <v>0</v>
      </c>
    </row>
    <row r="58" spans="1:5" s="2" customFormat="1" ht="13.5">
      <c r="A58" s="113" t="s">
        <v>123</v>
      </c>
      <c r="B58" s="114" t="s">
        <v>546</v>
      </c>
      <c r="C58" s="512">
        <f>SUM(C53,C57)</f>
        <v>920291</v>
      </c>
      <c r="D58" s="512">
        <f>SUM(D53,D57)</f>
        <v>940719.29</v>
      </c>
      <c r="E58" s="512">
        <f>SUM(E53,E57)</f>
        <v>977400.134016</v>
      </c>
    </row>
    <row r="59" spans="1:5" s="369" customFormat="1" ht="25.5" customHeight="1">
      <c r="A59" s="117" t="s">
        <v>788</v>
      </c>
      <c r="B59" s="367" t="s">
        <v>547</v>
      </c>
      <c r="C59" s="514">
        <f>SUM('[1]4.számú melléklet'!F76)</f>
        <v>22309</v>
      </c>
      <c r="D59" s="514"/>
      <c r="E59" s="514"/>
    </row>
    <row r="60" spans="1:5" s="369" customFormat="1" ht="13.5" customHeight="1">
      <c r="A60" s="117" t="s">
        <v>789</v>
      </c>
      <c r="B60" s="367" t="s">
        <v>704</v>
      </c>
      <c r="C60" s="514">
        <f>SUM('[1]4.számú melléklet'!F77)</f>
        <v>0</v>
      </c>
      <c r="D60" s="514"/>
      <c r="E60" s="514"/>
    </row>
    <row r="61" spans="1:5" s="369" customFormat="1" ht="13.5" customHeight="1">
      <c r="A61" s="56" t="s">
        <v>122</v>
      </c>
      <c r="B61" s="38" t="s">
        <v>514</v>
      </c>
      <c r="C61" s="391">
        <v>0</v>
      </c>
      <c r="D61" s="391"/>
      <c r="E61" s="391"/>
    </row>
    <row r="62" spans="1:5" s="369" customFormat="1" ht="13.5" customHeight="1">
      <c r="A62" s="56" t="s">
        <v>769</v>
      </c>
      <c r="B62" s="38" t="s">
        <v>705</v>
      </c>
      <c r="C62" s="391">
        <v>0</v>
      </c>
      <c r="D62" s="391"/>
      <c r="E62" s="391"/>
    </row>
    <row r="63" spans="1:5" s="369" customFormat="1" ht="13.5" customHeight="1">
      <c r="A63" s="117" t="s">
        <v>755</v>
      </c>
      <c r="B63" s="114" t="s">
        <v>889</v>
      </c>
      <c r="C63" s="516">
        <f>SUM(C61:C62)</f>
        <v>0</v>
      </c>
      <c r="D63" s="516">
        <f>SUM(D61:D62)</f>
        <v>0</v>
      </c>
      <c r="E63" s="516">
        <f>SUM(E61:E62)</f>
        <v>0</v>
      </c>
    </row>
    <row r="64" spans="1:5" s="369" customFormat="1" ht="13.5" customHeight="1">
      <c r="A64" s="117"/>
      <c r="B64" s="114" t="s">
        <v>888</v>
      </c>
      <c r="C64" s="516">
        <f>SUM(C16,C33,C39,C45,C58,C59,C60,C63)</f>
        <v>12991017</v>
      </c>
      <c r="D64" s="516">
        <f>SUM(D16,D33,D39,D45,D58,D59,D60,D63)</f>
        <v>12973388.901999999</v>
      </c>
      <c r="E64" s="516">
        <f>SUM(E16,E33,E39,E45,E58,E59,E60,E63)</f>
        <v>12669903.473604</v>
      </c>
    </row>
    <row r="65" spans="1:5" s="2" customFormat="1" ht="13.5" customHeight="1">
      <c r="A65" s="42" t="s">
        <v>753</v>
      </c>
      <c r="B65" s="38" t="s">
        <v>521</v>
      </c>
      <c r="C65" s="550">
        <f>SUM('[1]4.számú melléklet'!F82)</f>
        <v>0</v>
      </c>
      <c r="D65" s="550">
        <v>0</v>
      </c>
      <c r="E65" s="550">
        <v>0</v>
      </c>
    </row>
    <row r="66" spans="1:5" s="2" customFormat="1" ht="12.75">
      <c r="A66" s="42" t="s">
        <v>540</v>
      </c>
      <c r="B66" s="38" t="s">
        <v>522</v>
      </c>
      <c r="C66" s="550">
        <f>SUM('[1]4.számú melléklet'!F83)</f>
        <v>0</v>
      </c>
      <c r="D66" s="550">
        <v>0</v>
      </c>
      <c r="E66" s="550">
        <v>0</v>
      </c>
    </row>
    <row r="67" spans="1:5" s="2" customFormat="1" ht="12.75">
      <c r="A67" s="42" t="s">
        <v>541</v>
      </c>
      <c r="B67" s="38" t="s">
        <v>211</v>
      </c>
      <c r="C67" s="550">
        <f>SUM('[1]4.számú melléklet'!F84)</f>
        <v>0</v>
      </c>
      <c r="D67" s="550">
        <v>0</v>
      </c>
      <c r="E67" s="550">
        <v>0</v>
      </c>
    </row>
    <row r="68" spans="1:5" s="2" customFormat="1" ht="12.75">
      <c r="A68" s="42" t="s">
        <v>612</v>
      </c>
      <c r="B68" s="38" t="s">
        <v>437</v>
      </c>
      <c r="C68" s="550">
        <f>SUM('[1]4.számú melléklet'!F85)</f>
        <v>0</v>
      </c>
      <c r="D68" s="550">
        <v>0</v>
      </c>
      <c r="E68" s="550">
        <v>0</v>
      </c>
    </row>
    <row r="69" spans="1:5" s="2" customFormat="1" ht="12.75">
      <c r="A69" s="1355" t="s">
        <v>444</v>
      </c>
      <c r="B69" s="472" t="s">
        <v>617</v>
      </c>
      <c r="C69" s="1286">
        <v>3779352</v>
      </c>
      <c r="D69" s="1286">
        <v>2895280</v>
      </c>
      <c r="E69" s="1286">
        <v>2168214</v>
      </c>
    </row>
    <row r="70" spans="1:5" s="2" customFormat="1" ht="12.75">
      <c r="A70" s="1395"/>
      <c r="B70" s="585" t="s">
        <v>674</v>
      </c>
      <c r="C70" s="969">
        <v>1656103</v>
      </c>
      <c r="D70" s="969">
        <v>0</v>
      </c>
      <c r="E70" s="969">
        <v>0</v>
      </c>
    </row>
    <row r="71" spans="1:5" s="2" customFormat="1" ht="27">
      <c r="A71" s="117" t="s">
        <v>613</v>
      </c>
      <c r="B71" s="367" t="s">
        <v>925</v>
      </c>
      <c r="C71" s="514">
        <f>SUM(C65:C69)</f>
        <v>3779352</v>
      </c>
      <c r="D71" s="514">
        <f>SUM(D65:D69)</f>
        <v>2895280</v>
      </c>
      <c r="E71" s="514">
        <f>SUM(E65:E69)</f>
        <v>2168214</v>
      </c>
    </row>
    <row r="72" spans="1:5" s="2" customFormat="1" ht="13.5">
      <c r="A72" s="117"/>
      <c r="B72" s="367" t="s">
        <v>1008</v>
      </c>
      <c r="C72" s="516">
        <f>SUM(C64,C71)</f>
        <v>16770369</v>
      </c>
      <c r="D72" s="516">
        <f>SUM(D64,D71)</f>
        <v>15868668.901999999</v>
      </c>
      <c r="E72" s="516">
        <f>SUM(E64,E71)</f>
        <v>14838117.473604</v>
      </c>
    </row>
    <row r="73" spans="1:5" s="369" customFormat="1" ht="25.5" customHeight="1">
      <c r="A73" s="117" t="s">
        <v>614</v>
      </c>
      <c r="B73" s="367" t="s">
        <v>926</v>
      </c>
      <c r="C73" s="513">
        <f>SUM('[1]3.számú melléklet'!F49)</f>
        <v>7439104</v>
      </c>
      <c r="D73" s="513">
        <v>7067149</v>
      </c>
      <c r="E73" s="513">
        <v>6643120</v>
      </c>
    </row>
    <row r="74" spans="1:5" s="369" customFormat="1" ht="27.75" customHeight="1">
      <c r="A74" s="117" t="s">
        <v>451</v>
      </c>
      <c r="B74" s="367" t="s">
        <v>747</v>
      </c>
      <c r="C74" s="513">
        <f>SUM('[1]3.számú melléklet'!F49)*-1</f>
        <v>-7439104</v>
      </c>
      <c r="D74" s="513">
        <v>-7067149</v>
      </c>
      <c r="E74" s="513">
        <v>-6643120</v>
      </c>
    </row>
    <row r="75" spans="1:5" s="2" customFormat="1" ht="15" customHeight="1">
      <c r="A75" s="113"/>
      <c r="B75" s="114" t="s">
        <v>556</v>
      </c>
      <c r="C75" s="512">
        <f>SUM(C64,C71,C73:C74)</f>
        <v>16770369</v>
      </c>
      <c r="D75" s="512">
        <f>SUM(D64,D71,D73:D74)</f>
        <v>15868668.901999999</v>
      </c>
      <c r="E75" s="512">
        <f>SUM(E64,E71,E73:E74)</f>
        <v>14838117.473604001</v>
      </c>
    </row>
  </sheetData>
  <mergeCells count="2">
    <mergeCell ref="A48:A49"/>
    <mergeCell ref="A69:A70"/>
  </mergeCells>
  <printOptions horizontalCentered="1"/>
  <pageMargins left="0.7874015748031497" right="0.7874015748031497" top="0.88" bottom="0.984251968503937" header="0.5118110236220472" footer="0.5118110236220472"/>
  <pageSetup horizontalDpi="600" verticalDpi="600" orientation="portrait" paperSize="9" r:id="rId1"/>
  <headerFooter alignWithMargins="0">
    <oddHeader>&amp;C&amp;P&amp;R&amp;"Times New Roman CE,Normál"9/a. számú melléklet
</oddHeader>
    <oddFooter>&amp;L&amp;"Times New Roman CE,Normál"&amp;8&amp;F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2:E56"/>
  <sheetViews>
    <sheetView workbookViewId="0" topLeftCell="A31">
      <selection activeCell="A44" sqref="A44"/>
    </sheetView>
  </sheetViews>
  <sheetFormatPr defaultColWidth="9.140625" defaultRowHeight="12.75"/>
  <cols>
    <col min="1" max="1" width="5.28125" style="41" customWidth="1"/>
    <col min="2" max="2" width="37.00390625" style="40" customWidth="1"/>
    <col min="3" max="3" width="12.28125" style="27" customWidth="1"/>
    <col min="4" max="4" width="12.28125" style="134" customWidth="1"/>
    <col min="5" max="5" width="12.28125" style="0" customWidth="1"/>
  </cols>
  <sheetData>
    <row r="2" spans="1:5" ht="15.75">
      <c r="A2" s="26" t="s">
        <v>426</v>
      </c>
      <c r="B2" s="44"/>
      <c r="C2" s="26"/>
      <c r="D2" s="133"/>
      <c r="E2" s="120"/>
    </row>
    <row r="3" spans="1:5" ht="15.75">
      <c r="A3" s="26" t="s">
        <v>927</v>
      </c>
      <c r="B3" s="44"/>
      <c r="C3" s="26"/>
      <c r="D3" s="133"/>
      <c r="E3" s="120"/>
    </row>
    <row r="4" spans="1:5" ht="18.75">
      <c r="A4" s="37"/>
      <c r="B4" s="44"/>
      <c r="C4" s="26"/>
      <c r="D4" s="133"/>
      <c r="E4" s="120"/>
    </row>
    <row r="5" ht="12.75">
      <c r="E5" s="41" t="s">
        <v>128</v>
      </c>
    </row>
    <row r="6" spans="1:5" s="441" customFormat="1" ht="37.5" customHeight="1">
      <c r="A6" s="439" t="s">
        <v>169</v>
      </c>
      <c r="B6" s="439" t="s">
        <v>129</v>
      </c>
      <c r="C6" s="855" t="s">
        <v>249</v>
      </c>
      <c r="D6" s="440" t="s">
        <v>1014</v>
      </c>
      <c r="E6" s="440" t="s">
        <v>874</v>
      </c>
    </row>
    <row r="7" spans="1:5" s="328" customFormat="1" ht="9.75" customHeight="1">
      <c r="A7" s="329" t="s">
        <v>524</v>
      </c>
      <c r="B7" s="330" t="s">
        <v>525</v>
      </c>
      <c r="C7" s="856" t="s">
        <v>526</v>
      </c>
      <c r="D7" s="857" t="s">
        <v>729</v>
      </c>
      <c r="E7" s="856" t="s">
        <v>730</v>
      </c>
    </row>
    <row r="8" spans="1:5" s="1" customFormat="1" ht="12.75">
      <c r="A8" s="45" t="s">
        <v>524</v>
      </c>
      <c r="B8" s="39" t="s">
        <v>460</v>
      </c>
      <c r="C8" s="371">
        <v>5932884</v>
      </c>
      <c r="D8" s="371">
        <f>C8*0.95</f>
        <v>5636239.8</v>
      </c>
      <c r="E8" s="371">
        <f>D8*0.95</f>
        <v>5354427.81</v>
      </c>
    </row>
    <row r="9" spans="1:5" s="1" customFormat="1" ht="12.75" customHeight="1">
      <c r="A9" s="45" t="s">
        <v>525</v>
      </c>
      <c r="B9" s="39" t="s">
        <v>461</v>
      </c>
      <c r="C9" s="371">
        <v>1901658</v>
      </c>
      <c r="D9" s="371">
        <f>C9*0.95</f>
        <v>1806575.0999999999</v>
      </c>
      <c r="E9" s="371">
        <f>D9*0.95</f>
        <v>1716246.3449999997</v>
      </c>
    </row>
    <row r="10" spans="1:5" s="1" customFormat="1" ht="12.75">
      <c r="A10" s="45" t="s">
        <v>526</v>
      </c>
      <c r="B10" s="39" t="s">
        <v>462</v>
      </c>
      <c r="C10" s="371">
        <v>4605930</v>
      </c>
      <c r="D10" s="371">
        <f>C10*1.033</f>
        <v>4757925.6899999995</v>
      </c>
      <c r="E10" s="371">
        <f>D10*1.03</f>
        <v>4900663.4607</v>
      </c>
    </row>
    <row r="11" spans="1:5" s="187" customFormat="1" ht="25.5">
      <c r="A11" s="55" t="s">
        <v>729</v>
      </c>
      <c r="B11" s="370" t="s">
        <v>195</v>
      </c>
      <c r="C11" s="371">
        <f>SUM('[2]2.számú melléklet'!F10)</f>
        <v>455479</v>
      </c>
      <c r="D11" s="371">
        <f>C11*0.967</f>
        <v>440448.19299999997</v>
      </c>
      <c r="E11" s="371">
        <f>D11*1.06</f>
        <v>466875.08457999997</v>
      </c>
    </row>
    <row r="12" spans="1:5" s="61" customFormat="1" ht="12.75" customHeight="1">
      <c r="A12" s="42"/>
      <c r="B12" s="858" t="s">
        <v>401</v>
      </c>
      <c r="C12" s="459">
        <f>SUM('[2]2.számú melléklet'!F11)</f>
        <v>106920</v>
      </c>
      <c r="D12" s="459">
        <f>C12*0.967</f>
        <v>103391.64</v>
      </c>
      <c r="E12" s="459">
        <f>D12*1.06</f>
        <v>109595.13840000001</v>
      </c>
    </row>
    <row r="13" spans="1:5" s="381" customFormat="1" ht="25.5">
      <c r="A13" s="56"/>
      <c r="B13" s="444" t="s">
        <v>402</v>
      </c>
      <c r="C13" s="459">
        <f>SUM('[2]2.számú melléklet'!F13)</f>
        <v>348559</v>
      </c>
      <c r="D13" s="459">
        <f>C13*0.967</f>
        <v>337056.553</v>
      </c>
      <c r="E13" s="459">
        <f>D13*1.06</f>
        <v>357279.94618</v>
      </c>
    </row>
    <row r="14" spans="1:5" s="1" customFormat="1" ht="12.75">
      <c r="A14" s="45" t="s">
        <v>730</v>
      </c>
      <c r="B14" s="39" t="s">
        <v>725</v>
      </c>
      <c r="C14" s="371">
        <f>SUM('[2]2.számú melléklet'!F14)</f>
        <v>527056</v>
      </c>
      <c r="D14" s="371">
        <f>C14*1</f>
        <v>527056</v>
      </c>
      <c r="E14" s="371">
        <f>D14*1.018</f>
        <v>536543.008</v>
      </c>
    </row>
    <row r="15" spans="1:5" s="1" customFormat="1" ht="12.75">
      <c r="A15" s="45" t="s">
        <v>731</v>
      </c>
      <c r="B15" s="39" t="s">
        <v>928</v>
      </c>
      <c r="C15" s="371">
        <f>SUM('[2]2.számú melléklet'!F15)</f>
        <v>29515</v>
      </c>
      <c r="D15" s="371">
        <f>C15*1</f>
        <v>29515</v>
      </c>
      <c r="E15" s="371">
        <f>D15*1.018</f>
        <v>30046.27</v>
      </c>
    </row>
    <row r="16" spans="1:5" s="2" customFormat="1" ht="13.5">
      <c r="A16" s="113" t="s">
        <v>805</v>
      </c>
      <c r="B16" s="114" t="s">
        <v>673</v>
      </c>
      <c r="C16" s="25">
        <f>SUM(C8,C9,C10,C11,C14,C15)</f>
        <v>13452522</v>
      </c>
      <c r="D16" s="25">
        <f>SUM(D8,D9,D10,D11,D14,D15)</f>
        <v>13197759.783</v>
      </c>
      <c r="E16" s="25">
        <f>SUM(E8,E9,E10,E11,E14,E15)</f>
        <v>13004801.978279999</v>
      </c>
    </row>
    <row r="17" spans="1:5" s="1" customFormat="1" ht="12.75">
      <c r="A17" s="42"/>
      <c r="B17" s="38" t="s">
        <v>200</v>
      </c>
      <c r="C17" s="459">
        <f>SUM('[2]2.számú melléklet'!F17)</f>
        <v>14000</v>
      </c>
      <c r="D17" s="380">
        <f>C17*1.04</f>
        <v>14560</v>
      </c>
      <c r="E17" s="380">
        <f>D17*1.075</f>
        <v>15652</v>
      </c>
    </row>
    <row r="18" spans="1:5" s="1" customFormat="1" ht="12.75" customHeight="1">
      <c r="A18" s="42"/>
      <c r="B18" s="38" t="s">
        <v>341</v>
      </c>
      <c r="C18" s="459">
        <v>60536</v>
      </c>
      <c r="D18" s="380">
        <f>C18*1.04</f>
        <v>62957.44</v>
      </c>
      <c r="E18" s="380">
        <f>D18*1.075</f>
        <v>67679.248</v>
      </c>
    </row>
    <row r="19" spans="1:5" s="1" customFormat="1" ht="12.75">
      <c r="A19" s="42"/>
      <c r="B19" s="38" t="s">
        <v>201</v>
      </c>
      <c r="C19" s="459">
        <f>SUM('[2]2.számú melléklet'!F19)</f>
        <v>0</v>
      </c>
      <c r="D19" s="380">
        <f>C19*1.04</f>
        <v>0</v>
      </c>
      <c r="E19" s="380">
        <f>D19*1.075</f>
        <v>0</v>
      </c>
    </row>
    <row r="20" spans="1:5" s="1" customFormat="1" ht="12.75">
      <c r="A20" s="42"/>
      <c r="B20" s="38" t="s">
        <v>202</v>
      </c>
      <c r="C20" s="459">
        <f>SUM('[2]2.számú melléklet'!F19)</f>
        <v>0</v>
      </c>
      <c r="D20" s="380">
        <v>0</v>
      </c>
      <c r="E20" s="380">
        <v>0</v>
      </c>
    </row>
    <row r="21" spans="1:5" s="1" customFormat="1" ht="12.75">
      <c r="A21" s="45" t="s">
        <v>732</v>
      </c>
      <c r="B21" s="39" t="s">
        <v>109</v>
      </c>
      <c r="C21" s="371">
        <f>SUM(C17:C20)</f>
        <v>74536</v>
      </c>
      <c r="D21" s="371">
        <f>SUM(D17:D20)</f>
        <v>77517.44</v>
      </c>
      <c r="E21" s="371">
        <f>SUM(E17:E20)</f>
        <v>83331.248</v>
      </c>
    </row>
    <row r="22" spans="1:5" s="1" customFormat="1" ht="12.75">
      <c r="A22" s="45" t="s">
        <v>733</v>
      </c>
      <c r="B22" s="39" t="s">
        <v>203</v>
      </c>
      <c r="C22" s="371">
        <f>SUM('[2]2.számú melléklet'!F22)</f>
        <v>89430</v>
      </c>
      <c r="D22" s="442">
        <f aca="true" t="shared" si="0" ref="D22:D27">C22*1.04</f>
        <v>93007.2</v>
      </c>
      <c r="E22" s="442">
        <f aca="true" t="shared" si="1" ref="E22:E27">D22*1.075</f>
        <v>99982.73999999999</v>
      </c>
    </row>
    <row r="23" spans="1:5" s="1" customFormat="1" ht="12.75">
      <c r="A23" s="45" t="s">
        <v>734</v>
      </c>
      <c r="B23" s="39" t="s">
        <v>204</v>
      </c>
      <c r="C23" s="371">
        <f>SUM('[2]2.számú melléklet'!F23)</f>
        <v>220052</v>
      </c>
      <c r="D23" s="442">
        <f t="shared" si="0"/>
        <v>228854.08000000002</v>
      </c>
      <c r="E23" s="442">
        <f t="shared" si="1"/>
        <v>246018.136</v>
      </c>
    </row>
    <row r="24" spans="1:5" s="1" customFormat="1" ht="12.75">
      <c r="A24" s="45" t="s">
        <v>735</v>
      </c>
      <c r="B24" s="39" t="s">
        <v>205</v>
      </c>
      <c r="C24" s="371">
        <f>SUM('[2]2.számú melléklet'!F24)</f>
        <v>0</v>
      </c>
      <c r="D24" s="442">
        <f t="shared" si="0"/>
        <v>0</v>
      </c>
      <c r="E24" s="442">
        <f t="shared" si="1"/>
        <v>0</v>
      </c>
    </row>
    <row r="25" spans="1:5" s="187" customFormat="1" ht="25.5">
      <c r="A25" s="55" t="s">
        <v>736</v>
      </c>
      <c r="B25" s="370" t="s">
        <v>196</v>
      </c>
      <c r="C25" s="371">
        <f>SUM('[2]2.számú melléklet'!F25)</f>
        <v>151410</v>
      </c>
      <c r="D25" s="442">
        <f t="shared" si="0"/>
        <v>157466.4</v>
      </c>
      <c r="E25" s="442">
        <f t="shared" si="1"/>
        <v>169276.37999999998</v>
      </c>
    </row>
    <row r="26" spans="1:5" ht="12.75">
      <c r="A26" s="42"/>
      <c r="B26" s="858" t="s">
        <v>403</v>
      </c>
      <c r="C26" s="459">
        <f>SUM('[2]2.számú melléklet'!F26)</f>
        <v>118446</v>
      </c>
      <c r="D26" s="459">
        <f t="shared" si="0"/>
        <v>123183.84000000001</v>
      </c>
      <c r="E26" s="459">
        <f t="shared" si="1"/>
        <v>132422.628</v>
      </c>
    </row>
    <row r="27" spans="1:5" s="381" customFormat="1" ht="25.5" customHeight="1">
      <c r="A27" s="56"/>
      <c r="B27" s="444" t="s">
        <v>404</v>
      </c>
      <c r="C27" s="459">
        <f>SUM('[2]2.számú melléklet'!F28)</f>
        <v>32964</v>
      </c>
      <c r="D27" s="459">
        <f t="shared" si="0"/>
        <v>34282.56</v>
      </c>
      <c r="E27" s="459">
        <f t="shared" si="1"/>
        <v>36853.75199999999</v>
      </c>
    </row>
    <row r="28" spans="1:5" s="369" customFormat="1" ht="24.75" customHeight="1">
      <c r="A28" s="117" t="s">
        <v>327</v>
      </c>
      <c r="B28" s="367" t="s">
        <v>588</v>
      </c>
      <c r="C28" s="25">
        <f>SUM(C21,C22,C23,C24,C25)</f>
        <v>535428</v>
      </c>
      <c r="D28" s="25">
        <f>SUM(D21,D22,D23,D24,D25)</f>
        <v>556845.12</v>
      </c>
      <c r="E28" s="25">
        <f>SUM(E21,E22,E23,E24,E25)</f>
        <v>598608.504</v>
      </c>
    </row>
    <row r="29" spans="1:5" ht="12.75" customHeight="1">
      <c r="A29" s="42"/>
      <c r="B29" s="38" t="s">
        <v>929</v>
      </c>
      <c r="C29" s="459">
        <f>SUM('[2]2.számú melléklet'!F30)</f>
        <v>0</v>
      </c>
      <c r="D29" s="380">
        <v>0</v>
      </c>
      <c r="E29" s="380">
        <v>0</v>
      </c>
    </row>
    <row r="30" spans="1:5" ht="12.75" customHeight="1">
      <c r="A30" s="42"/>
      <c r="B30" s="339" t="s">
        <v>912</v>
      </c>
      <c r="C30" s="459">
        <f>SUM('[2]2.számú melléklet'!F31)</f>
        <v>8125</v>
      </c>
      <c r="D30" s="380">
        <v>7000</v>
      </c>
      <c r="E30" s="380">
        <v>5000</v>
      </c>
    </row>
    <row r="31" spans="1:5" s="1" customFormat="1" ht="12.75" customHeight="1">
      <c r="A31" s="649" t="s">
        <v>338</v>
      </c>
      <c r="B31" s="1287" t="s">
        <v>706</v>
      </c>
      <c r="C31" s="442">
        <f>SUM(C29:C30)</f>
        <v>8125</v>
      </c>
      <c r="D31" s="442">
        <f>SUM(D29:D30)</f>
        <v>7000</v>
      </c>
      <c r="E31" s="442">
        <f>SUM(E29:E30)</f>
        <v>5000</v>
      </c>
    </row>
    <row r="32" spans="1:5" s="1" customFormat="1" ht="12.75">
      <c r="A32" s="45" t="s">
        <v>737</v>
      </c>
      <c r="B32" s="39" t="s">
        <v>750</v>
      </c>
      <c r="C32" s="371">
        <f>SUM('[2]2.számú melléklet'!F33)</f>
        <v>2123250</v>
      </c>
      <c r="D32" s="371">
        <v>1500000</v>
      </c>
      <c r="E32" s="371">
        <v>600000</v>
      </c>
    </row>
    <row r="33" spans="1:5" s="1" customFormat="1" ht="12.75">
      <c r="A33" s="45" t="s">
        <v>738</v>
      </c>
      <c r="B33" s="349" t="s">
        <v>357</v>
      </c>
      <c r="C33" s="371">
        <f>SUM('[2]2.számú melléklet'!F34)</f>
        <v>62000</v>
      </c>
      <c r="D33" s="371">
        <v>62000</v>
      </c>
      <c r="E33" s="371">
        <v>62000</v>
      </c>
    </row>
    <row r="34" spans="1:5" s="1" customFormat="1" ht="12.75">
      <c r="A34" s="45" t="s">
        <v>811</v>
      </c>
      <c r="B34" s="39" t="s">
        <v>937</v>
      </c>
      <c r="C34" s="371">
        <v>443980</v>
      </c>
      <c r="D34" s="371">
        <v>400000</v>
      </c>
      <c r="E34" s="371">
        <v>400000</v>
      </c>
    </row>
    <row r="35" spans="1:5" s="2" customFormat="1" ht="13.5">
      <c r="A35" s="113" t="s">
        <v>601</v>
      </c>
      <c r="B35" s="114" t="s">
        <v>589</v>
      </c>
      <c r="C35" s="373">
        <f>SUM(C32:C34)</f>
        <v>2629230</v>
      </c>
      <c r="D35" s="373">
        <f>SUM(D32:D34)</f>
        <v>1962000</v>
      </c>
      <c r="E35" s="373">
        <f>SUM(E32:E34)</f>
        <v>1062000</v>
      </c>
    </row>
    <row r="36" spans="1:5" s="116" customFormat="1" ht="13.5">
      <c r="A36" s="113"/>
      <c r="B36" s="114" t="s">
        <v>930</v>
      </c>
      <c r="C36" s="373">
        <f>SUM(C16,C28,C35,C31)</f>
        <v>16625305</v>
      </c>
      <c r="D36" s="373">
        <f>SUM(D16,D28,D35,D31)</f>
        <v>15723604.902999999</v>
      </c>
      <c r="E36" s="373">
        <f>SUM(E16,E28,E35,E31)</f>
        <v>14670410.48228</v>
      </c>
    </row>
    <row r="37" spans="1:5" s="116" customFormat="1" ht="26.25">
      <c r="A37" s="113"/>
      <c r="B37" s="1288" t="s">
        <v>187</v>
      </c>
      <c r="C37" s="459">
        <f>SUM('[2]2.számú melléklet'!F40)</f>
        <v>145064</v>
      </c>
      <c r="D37" s="551">
        <v>145064</v>
      </c>
      <c r="E37" s="551">
        <v>167707</v>
      </c>
    </row>
    <row r="38" spans="1:5" s="116" customFormat="1" ht="13.5" customHeight="1">
      <c r="A38" s="113"/>
      <c r="B38" s="972" t="s">
        <v>188</v>
      </c>
      <c r="C38" s="459">
        <f>SUM('[2]2.számú melléklet'!F41)</f>
        <v>0</v>
      </c>
      <c r="D38" s="551">
        <v>0</v>
      </c>
      <c r="E38" s="551">
        <v>0</v>
      </c>
    </row>
    <row r="39" spans="1:5" s="2" customFormat="1" ht="13.5">
      <c r="A39" s="113" t="s">
        <v>123</v>
      </c>
      <c r="B39" s="114" t="s">
        <v>110</v>
      </c>
      <c r="C39" s="25">
        <f>SUM(C37:C38)</f>
        <v>145064</v>
      </c>
      <c r="D39" s="25">
        <f>SUM(D37:D38)</f>
        <v>145064</v>
      </c>
      <c r="E39" s="25">
        <f>SUM(E37:E38)</f>
        <v>167707</v>
      </c>
    </row>
    <row r="40" spans="1:5" s="381" customFormat="1" ht="12.75">
      <c r="A40" s="56"/>
      <c r="B40" s="374" t="s">
        <v>931</v>
      </c>
      <c r="C40" s="459">
        <f>SUM('[2]2.számú melléklet'!F39)</f>
        <v>0</v>
      </c>
      <c r="D40" s="380">
        <v>0</v>
      </c>
      <c r="E40" s="641">
        <v>0</v>
      </c>
    </row>
    <row r="41" spans="1:5" s="1" customFormat="1" ht="15" customHeight="1">
      <c r="A41" s="649" t="s">
        <v>788</v>
      </c>
      <c r="B41" s="1289" t="s">
        <v>932</v>
      </c>
      <c r="C41" s="1091">
        <f>SUM(C39:C40)</f>
        <v>145064</v>
      </c>
      <c r="D41" s="1091">
        <f>SUM(D39:D40)</f>
        <v>145064</v>
      </c>
      <c r="E41" s="1091">
        <f>SUM(E39:E40)</f>
        <v>167707</v>
      </c>
    </row>
    <row r="42" spans="1:5" s="116" customFormat="1" ht="15" customHeight="1">
      <c r="A42" s="113"/>
      <c r="B42" s="114" t="s">
        <v>615</v>
      </c>
      <c r="C42" s="25">
        <f>SUM(C36,C41)</f>
        <v>16770369</v>
      </c>
      <c r="D42" s="25">
        <f>SUM(D36,D41)</f>
        <v>15868668.902999999</v>
      </c>
      <c r="E42" s="25">
        <f>SUM(E36,E41)</f>
        <v>14838117.48228</v>
      </c>
    </row>
    <row r="43" spans="1:5" s="332" customFormat="1" ht="13.5">
      <c r="A43" s="650" t="s">
        <v>789</v>
      </c>
      <c r="B43" s="334" t="s">
        <v>481</v>
      </c>
      <c r="C43" s="371">
        <f>SUM('[2]2.számú melléklet'!F44)</f>
        <v>7439104</v>
      </c>
      <c r="D43" s="1092">
        <f>C43*0.95</f>
        <v>7067148.8</v>
      </c>
      <c r="E43" s="1092">
        <f>D43*0.94</f>
        <v>6643119.8719999995</v>
      </c>
    </row>
    <row r="44" spans="1:5" s="187" customFormat="1" ht="25.5">
      <c r="A44" s="651" t="s">
        <v>755</v>
      </c>
      <c r="B44" s="370" t="s">
        <v>344</v>
      </c>
      <c r="C44" s="371">
        <f>SUM('[2]2.számú melléklet'!F45)</f>
        <v>-7439104</v>
      </c>
      <c r="D44" s="1092">
        <f>C44*0.95</f>
        <v>-7067148.8</v>
      </c>
      <c r="E44" s="1092">
        <f>D44*0.94</f>
        <v>-6643119.8719999995</v>
      </c>
    </row>
    <row r="45" spans="1:5" s="116" customFormat="1" ht="13.5" customHeight="1">
      <c r="A45" s="113"/>
      <c r="B45" s="114" t="s">
        <v>559</v>
      </c>
      <c r="C45" s="25">
        <f>SUM(C42:C44)</f>
        <v>16770369</v>
      </c>
      <c r="D45" s="25">
        <f>SUM(D42:D42)</f>
        <v>15868668.902999999</v>
      </c>
      <c r="E45" s="25">
        <f>SUM(E42:E42)</f>
        <v>14838117.48228</v>
      </c>
    </row>
    <row r="46" spans="1:4" s="62" customFormat="1" ht="12.75">
      <c r="A46" s="52"/>
      <c r="B46" s="47"/>
      <c r="C46" s="52"/>
      <c r="D46" s="135"/>
    </row>
    <row r="47" spans="1:4" s="53" customFormat="1" ht="12.75">
      <c r="A47" s="52"/>
      <c r="B47" s="47"/>
      <c r="C47" s="52"/>
      <c r="D47" s="135"/>
    </row>
    <row r="48" spans="1:4" ht="12.75">
      <c r="A48" s="46"/>
      <c r="B48" s="47"/>
      <c r="C48" s="33"/>
      <c r="D48" s="136"/>
    </row>
    <row r="49" spans="1:4" ht="12.75" customHeight="1">
      <c r="A49" s="46"/>
      <c r="B49" s="47"/>
      <c r="C49" s="33"/>
      <c r="D49" s="136"/>
    </row>
    <row r="50" spans="1:4" ht="12.75" customHeight="1">
      <c r="A50" s="46"/>
      <c r="B50" s="47"/>
      <c r="C50" s="33"/>
      <c r="D50" s="136"/>
    </row>
    <row r="51" spans="1:4" s="1" customFormat="1" ht="12.75">
      <c r="A51" s="48"/>
      <c r="B51" s="49"/>
      <c r="C51" s="50"/>
      <c r="D51" s="137"/>
    </row>
    <row r="52" spans="1:4" ht="12.75">
      <c r="A52" s="46"/>
      <c r="B52" s="47"/>
      <c r="C52" s="33"/>
      <c r="D52" s="136"/>
    </row>
    <row r="53" spans="1:4" ht="12.75">
      <c r="A53" s="46"/>
      <c r="B53" s="47"/>
      <c r="C53" s="33"/>
      <c r="D53" s="136"/>
    </row>
    <row r="54" spans="1:4" s="1" customFormat="1" ht="12.75">
      <c r="A54" s="48"/>
      <c r="B54" s="49"/>
      <c r="C54" s="50"/>
      <c r="D54" s="137"/>
    </row>
    <row r="55" spans="1:4" s="1" customFormat="1" ht="12.75">
      <c r="A55" s="48"/>
      <c r="B55" s="49"/>
      <c r="C55" s="50"/>
      <c r="D55" s="137"/>
    </row>
    <row r="56" spans="1:4" s="1" customFormat="1" ht="12.75">
      <c r="A56" s="48"/>
      <c r="B56" s="49"/>
      <c r="C56" s="50"/>
      <c r="D56" s="137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CE,Normál"9/b.számú melléklet
</oddHeader>
    <oddFooter>&amp;L&amp;"Times New Roman CE,Normál"&amp;8&amp;F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5" topLeftCell="BM21" activePane="bottomLeft" state="frozen"/>
      <selection pane="topLeft" activeCell="A1" sqref="A1"/>
      <selection pane="bottomLeft" activeCell="F31" sqref="F31"/>
    </sheetView>
  </sheetViews>
  <sheetFormatPr defaultColWidth="9.140625" defaultRowHeight="12.75"/>
  <cols>
    <col min="1" max="1" width="6.7109375" style="27" customWidth="1"/>
    <col min="2" max="2" width="37.00390625" style="27" customWidth="1"/>
    <col min="3" max="5" width="10.140625" style="134" customWidth="1"/>
    <col min="6" max="6" width="4.28125" style="27" customWidth="1"/>
    <col min="7" max="7" width="38.7109375" style="27" customWidth="1"/>
    <col min="8" max="8" width="9.57421875" style="134" customWidth="1"/>
    <col min="9" max="9" width="10.140625" style="134" customWidth="1"/>
    <col min="10" max="10" width="9.7109375" style="134" customWidth="1"/>
  </cols>
  <sheetData>
    <row r="1" spans="1:10" ht="15" customHeight="1">
      <c r="A1" s="26" t="s">
        <v>426</v>
      </c>
      <c r="B1" s="809"/>
      <c r="C1" s="859"/>
      <c r="D1" s="859"/>
      <c r="E1" s="859"/>
      <c r="F1" s="809"/>
      <c r="G1" s="809"/>
      <c r="H1" s="859"/>
      <c r="I1" s="859"/>
      <c r="J1" s="859"/>
    </row>
    <row r="2" spans="1:10" ht="15" customHeight="1">
      <c r="A2" s="26" t="s">
        <v>302</v>
      </c>
      <c r="B2" s="809"/>
      <c r="C2" s="859"/>
      <c r="D2" s="859"/>
      <c r="E2" s="859"/>
      <c r="F2" s="809"/>
      <c r="G2" s="809"/>
      <c r="H2" s="859"/>
      <c r="I2" s="859"/>
      <c r="J2" s="859"/>
    </row>
    <row r="3" spans="1:10" ht="12.75" customHeight="1">
      <c r="A3" s="26"/>
      <c r="B3" s="809"/>
      <c r="C3" s="859"/>
      <c r="D3" s="859"/>
      <c r="E3" s="859"/>
      <c r="F3" s="809"/>
      <c r="G3" s="809"/>
      <c r="H3" s="859"/>
      <c r="I3" s="859"/>
      <c r="J3" s="859" t="s">
        <v>128</v>
      </c>
    </row>
    <row r="4" spans="1:10" s="360" customFormat="1" ht="15" customHeight="1">
      <c r="A4" s="860" t="s">
        <v>390</v>
      </c>
      <c r="B4" s="860"/>
      <c r="C4" s="861"/>
      <c r="D4" s="861"/>
      <c r="E4" s="861"/>
      <c r="F4" s="860" t="s">
        <v>459</v>
      </c>
      <c r="G4" s="860"/>
      <c r="H4" s="861"/>
      <c r="I4" s="861"/>
      <c r="J4" s="861"/>
    </row>
    <row r="5" spans="1:10" s="328" customFormat="1" ht="31.5" customHeight="1">
      <c r="A5" s="350" t="s">
        <v>129</v>
      </c>
      <c r="B5" s="350"/>
      <c r="C5" s="862" t="s">
        <v>875</v>
      </c>
      <c r="D5" s="862" t="s">
        <v>258</v>
      </c>
      <c r="E5" s="863" t="s">
        <v>253</v>
      </c>
      <c r="F5" s="350" t="s">
        <v>129</v>
      </c>
      <c r="G5" s="350"/>
      <c r="H5" s="862" t="s">
        <v>875</v>
      </c>
      <c r="I5" s="862" t="s">
        <v>258</v>
      </c>
      <c r="J5" s="863" t="s">
        <v>253</v>
      </c>
    </row>
    <row r="6" spans="1:10" s="337" customFormat="1" ht="12">
      <c r="A6" s="351" t="s">
        <v>1015</v>
      </c>
      <c r="B6" s="351"/>
      <c r="C6" s="352"/>
      <c r="D6" s="352"/>
      <c r="E6" s="352"/>
      <c r="F6" s="351" t="s">
        <v>1016</v>
      </c>
      <c r="G6" s="351"/>
      <c r="H6" s="352"/>
      <c r="I6" s="352"/>
      <c r="J6" s="352"/>
    </row>
    <row r="7" spans="1:10" s="328" customFormat="1" ht="12" customHeight="1">
      <c r="A7" s="353" t="s">
        <v>1017</v>
      </c>
      <c r="B7" s="353"/>
      <c r="C7" s="354">
        <v>3486317</v>
      </c>
      <c r="D7" s="354">
        <v>3175042</v>
      </c>
      <c r="E7" s="354">
        <v>2684721</v>
      </c>
      <c r="F7" s="864" t="s">
        <v>1018</v>
      </c>
      <c r="G7" s="864"/>
      <c r="H7" s="538">
        <v>5721647</v>
      </c>
      <c r="I7" s="538">
        <v>6173570</v>
      </c>
      <c r="J7" s="538">
        <v>5932884</v>
      </c>
    </row>
    <row r="8" spans="1:10" s="328" customFormat="1" ht="12" customHeight="1">
      <c r="A8" s="353" t="s">
        <v>1019</v>
      </c>
      <c r="B8" s="355"/>
      <c r="C8" s="865">
        <f>SUM(C9:C11)</f>
        <v>1550600</v>
      </c>
      <c r="D8" s="865">
        <f>SUM(D9:D11)</f>
        <v>1547224</v>
      </c>
      <c r="E8" s="865">
        <f>SUM(E9:E11)</f>
        <v>1741289</v>
      </c>
      <c r="F8" s="356"/>
      <c r="G8" s="357"/>
      <c r="H8" s="866"/>
      <c r="I8" s="354"/>
      <c r="J8" s="354"/>
    </row>
    <row r="9" spans="1:10" s="328" customFormat="1" ht="12" customHeight="1">
      <c r="A9" s="356"/>
      <c r="B9" s="867" t="s">
        <v>1020</v>
      </c>
      <c r="C9" s="868">
        <v>750379</v>
      </c>
      <c r="D9" s="354">
        <v>747433</v>
      </c>
      <c r="E9" s="354">
        <v>934842</v>
      </c>
      <c r="F9" s="869" t="s">
        <v>125</v>
      </c>
      <c r="G9" s="869"/>
      <c r="H9" s="354">
        <v>1866598</v>
      </c>
      <c r="I9" s="354">
        <v>1966648</v>
      </c>
      <c r="J9" s="354">
        <v>1901658</v>
      </c>
    </row>
    <row r="10" spans="1:10" s="328" customFormat="1" ht="12" customHeight="1">
      <c r="A10" s="356"/>
      <c r="B10" s="867" t="s">
        <v>1021</v>
      </c>
      <c r="C10" s="868">
        <v>442261</v>
      </c>
      <c r="D10" s="354">
        <v>420542</v>
      </c>
      <c r="E10" s="870">
        <v>406447</v>
      </c>
      <c r="F10" s="356"/>
      <c r="G10" s="357"/>
      <c r="H10" s="866"/>
      <c r="I10" s="354"/>
      <c r="J10" s="354"/>
    </row>
    <row r="11" spans="1:10" s="328" customFormat="1" ht="12" customHeight="1">
      <c r="A11" s="356"/>
      <c r="B11" s="867" t="s">
        <v>1022</v>
      </c>
      <c r="C11" s="868">
        <v>357960</v>
      </c>
      <c r="D11" s="354">
        <v>379249</v>
      </c>
      <c r="E11" s="870">
        <v>400000</v>
      </c>
      <c r="F11" s="869" t="s">
        <v>126</v>
      </c>
      <c r="G11" s="357"/>
      <c r="H11" s="354">
        <v>4553602</v>
      </c>
      <c r="I11" s="866">
        <v>6750255</v>
      </c>
      <c r="J11" s="354">
        <v>4605930</v>
      </c>
    </row>
    <row r="12" spans="1:10" s="328" customFormat="1" ht="12" customHeight="1">
      <c r="A12" s="353" t="s">
        <v>1023</v>
      </c>
      <c r="B12" s="353"/>
      <c r="C12" s="354">
        <f>SUM(C13:C16)</f>
        <v>7779838</v>
      </c>
      <c r="D12" s="354">
        <f>SUM(D13:D16)</f>
        <v>6861933</v>
      </c>
      <c r="E12" s="354">
        <f>SUM(E13:E16)</f>
        <v>7246379</v>
      </c>
      <c r="F12" s="356"/>
      <c r="G12" s="871"/>
      <c r="H12" s="354"/>
      <c r="I12" s="866"/>
      <c r="J12" s="354"/>
    </row>
    <row r="13" spans="1:10" s="328" customFormat="1" ht="12" customHeight="1">
      <c r="A13" s="356"/>
      <c r="B13" s="867" t="s">
        <v>1024</v>
      </c>
      <c r="C13" s="868">
        <v>3201151</v>
      </c>
      <c r="D13" s="354">
        <v>1403619</v>
      </c>
      <c r="E13" s="870">
        <v>1145471</v>
      </c>
      <c r="F13" s="1396" t="s">
        <v>1025</v>
      </c>
      <c r="G13" s="1397"/>
      <c r="H13" s="872">
        <v>354586</v>
      </c>
      <c r="I13" s="873">
        <v>967072</v>
      </c>
      <c r="J13" s="873">
        <v>455479</v>
      </c>
    </row>
    <row r="14" spans="1:10" s="328" customFormat="1" ht="12" customHeight="1">
      <c r="A14" s="356"/>
      <c r="B14" s="867" t="s">
        <v>1026</v>
      </c>
      <c r="C14" s="868">
        <v>3943768</v>
      </c>
      <c r="D14" s="354">
        <v>4819408</v>
      </c>
      <c r="E14" s="354">
        <v>5464408</v>
      </c>
      <c r="F14" s="1396"/>
      <c r="G14" s="1397"/>
      <c r="H14" s="872"/>
      <c r="I14" s="873"/>
      <c r="J14" s="873"/>
    </row>
    <row r="15" spans="1:10" s="328" customFormat="1" ht="12" customHeight="1">
      <c r="A15" s="356"/>
      <c r="B15" s="867" t="s">
        <v>1027</v>
      </c>
      <c r="C15" s="868">
        <v>607470</v>
      </c>
      <c r="D15" s="354">
        <v>611267</v>
      </c>
      <c r="E15" s="870">
        <v>636500</v>
      </c>
      <c r="F15" s="1398" t="s">
        <v>1028</v>
      </c>
      <c r="G15" s="1399"/>
      <c r="H15" s="354">
        <v>539541</v>
      </c>
      <c r="I15" s="354">
        <v>506958</v>
      </c>
      <c r="J15" s="354">
        <v>556571</v>
      </c>
    </row>
    <row r="16" spans="1:10" s="328" customFormat="1" ht="12" customHeight="1">
      <c r="A16" s="356"/>
      <c r="B16" s="867" t="s">
        <v>1029</v>
      </c>
      <c r="C16" s="868">
        <v>27449</v>
      </c>
      <c r="D16" s="354">
        <v>27639</v>
      </c>
      <c r="E16" s="354"/>
      <c r="F16" s="1398"/>
      <c r="G16" s="1399"/>
      <c r="H16" s="354"/>
      <c r="I16" s="874"/>
      <c r="J16" s="874"/>
    </row>
    <row r="17" spans="1:10" s="328" customFormat="1" ht="12" customHeight="1">
      <c r="A17" s="353" t="s">
        <v>1030</v>
      </c>
      <c r="B17" s="353"/>
      <c r="C17" s="354">
        <f>SUM(C18:C20)</f>
        <v>1644937</v>
      </c>
      <c r="D17" s="354">
        <f>SUM(D18:D20)</f>
        <v>1565714</v>
      </c>
      <c r="E17" s="870">
        <f>SUM(E18:E20)</f>
        <v>920291</v>
      </c>
      <c r="F17" s="1398" t="s">
        <v>1031</v>
      </c>
      <c r="G17" s="1399"/>
      <c r="H17" s="354"/>
      <c r="I17" s="354"/>
      <c r="J17" s="354">
        <v>22000</v>
      </c>
    </row>
    <row r="18" spans="1:10" s="328" customFormat="1" ht="12" customHeight="1">
      <c r="A18" s="356"/>
      <c r="B18" s="867" t="s">
        <v>1032</v>
      </c>
      <c r="C18" s="866">
        <v>80242</v>
      </c>
      <c r="D18" s="354">
        <v>103437</v>
      </c>
      <c r="E18" s="354">
        <v>103549</v>
      </c>
      <c r="F18" s="1398"/>
      <c r="G18" s="1399"/>
      <c r="H18" s="874"/>
      <c r="I18" s="874"/>
      <c r="J18" s="874"/>
    </row>
    <row r="19" spans="1:10" s="328" customFormat="1" ht="12" customHeight="1">
      <c r="A19" s="356"/>
      <c r="B19" s="867" t="s">
        <v>1033</v>
      </c>
      <c r="C19" s="868">
        <v>818193</v>
      </c>
      <c r="D19" s="354">
        <v>813254</v>
      </c>
      <c r="E19" s="870">
        <v>803064</v>
      </c>
      <c r="F19" s="1398" t="s">
        <v>1034</v>
      </c>
      <c r="G19" s="1399"/>
      <c r="H19" s="354"/>
      <c r="I19" s="354"/>
      <c r="J19" s="354">
        <v>1084074</v>
      </c>
    </row>
    <row r="20" spans="1:10" s="328" customFormat="1" ht="12" customHeight="1">
      <c r="A20" s="356"/>
      <c r="B20" s="867" t="s">
        <v>1035</v>
      </c>
      <c r="C20" s="868">
        <v>746502</v>
      </c>
      <c r="D20" s="354">
        <v>649023</v>
      </c>
      <c r="E20" s="354">
        <v>13678</v>
      </c>
      <c r="F20" s="1398"/>
      <c r="G20" s="1399"/>
      <c r="H20" s="874"/>
      <c r="I20" s="874"/>
      <c r="J20" s="874"/>
    </row>
    <row r="21" spans="1:10" s="328" customFormat="1" ht="12" customHeight="1">
      <c r="A21" s="356" t="s">
        <v>1036</v>
      </c>
      <c r="B21" s="867"/>
      <c r="C21" s="868">
        <v>1365230</v>
      </c>
      <c r="D21" s="354">
        <v>3497124</v>
      </c>
      <c r="E21" s="354"/>
      <c r="F21" s="1396" t="s">
        <v>1037</v>
      </c>
      <c r="G21" s="1397"/>
      <c r="H21" s="872"/>
      <c r="I21" s="873"/>
      <c r="J21" s="873"/>
    </row>
    <row r="22" spans="1:10" s="328" customFormat="1" ht="12" customHeight="1">
      <c r="A22" s="356" t="s">
        <v>1038</v>
      </c>
      <c r="B22" s="867"/>
      <c r="C22" s="868">
        <v>498000</v>
      </c>
      <c r="D22" s="354"/>
      <c r="E22" s="354"/>
      <c r="F22" s="353" t="s">
        <v>1039</v>
      </c>
      <c r="G22" s="357"/>
      <c r="H22" s="866"/>
      <c r="I22" s="866"/>
      <c r="J22" s="354"/>
    </row>
    <row r="23" spans="1:10" s="337" customFormat="1" ht="12" customHeight="1">
      <c r="A23" s="351" t="s">
        <v>1040</v>
      </c>
      <c r="B23" s="351"/>
      <c r="C23" s="352">
        <f>SUM(C7,C8,C12,C17,C21,C22)</f>
        <v>16324922</v>
      </c>
      <c r="D23" s="352">
        <f>SUM(D7,D8,D12,D17,D21,D22)</f>
        <v>16647037</v>
      </c>
      <c r="E23" s="352">
        <f>SUM(E7,E8,E12,E17,E21)</f>
        <v>12592680</v>
      </c>
      <c r="F23" s="351" t="s">
        <v>317</v>
      </c>
      <c r="G23" s="875"/>
      <c r="H23" s="352">
        <f>SUM(H7:H22)</f>
        <v>13035974</v>
      </c>
      <c r="I23" s="352">
        <f>SUM(I7:I22)</f>
        <v>16364503</v>
      </c>
      <c r="J23" s="352">
        <f>SUM(J7:J22)</f>
        <v>14558596</v>
      </c>
    </row>
    <row r="24" spans="1:10" s="328" customFormat="1" ht="12" customHeight="1">
      <c r="A24" s="358" t="s">
        <v>1041</v>
      </c>
      <c r="B24" s="358"/>
      <c r="C24" s="876"/>
      <c r="D24" s="876"/>
      <c r="E24" s="876">
        <f>J23-E23</f>
        <v>1965916</v>
      </c>
      <c r="F24" s="356"/>
      <c r="G24" s="357"/>
      <c r="H24" s="354"/>
      <c r="I24" s="354"/>
      <c r="J24" s="354"/>
    </row>
    <row r="25" spans="1:10" s="337" customFormat="1" ht="12" customHeight="1">
      <c r="A25" s="875" t="s">
        <v>1042</v>
      </c>
      <c r="B25" s="875"/>
      <c r="C25" s="352"/>
      <c r="D25" s="352"/>
      <c r="E25" s="352"/>
      <c r="F25" s="351" t="s">
        <v>504</v>
      </c>
      <c r="G25" s="351"/>
      <c r="H25" s="352"/>
      <c r="I25" s="352"/>
      <c r="J25" s="352"/>
    </row>
    <row r="26" spans="1:10" s="337" customFormat="1" ht="12" customHeight="1">
      <c r="A26" s="353" t="s">
        <v>1017</v>
      </c>
      <c r="B26" s="877"/>
      <c r="C26" s="866">
        <v>159968</v>
      </c>
      <c r="D26" s="354">
        <v>130554</v>
      </c>
      <c r="E26" s="870">
        <v>116752</v>
      </c>
      <c r="F26" s="878" t="s">
        <v>1043</v>
      </c>
      <c r="G26" s="878"/>
      <c r="H26" s="354">
        <v>529596</v>
      </c>
      <c r="I26" s="354">
        <v>1056585</v>
      </c>
      <c r="J26" s="354">
        <v>74536</v>
      </c>
    </row>
    <row r="27" spans="1:10" s="328" customFormat="1" ht="12" customHeight="1">
      <c r="A27" s="353" t="s">
        <v>1044</v>
      </c>
      <c r="B27" s="357"/>
      <c r="C27" s="866">
        <f>SUM(C28:C30)</f>
        <v>9845846</v>
      </c>
      <c r="D27" s="866">
        <f>SUM(D28:D30)</f>
        <v>504584</v>
      </c>
      <c r="E27" s="866">
        <f>SUM(E28:E30)</f>
        <v>259276</v>
      </c>
      <c r="F27" s="353" t="s">
        <v>1045</v>
      </c>
      <c r="G27" s="353"/>
      <c r="H27" s="354">
        <v>1546864</v>
      </c>
      <c r="I27" s="354">
        <v>2262529</v>
      </c>
      <c r="J27" s="354">
        <v>220052</v>
      </c>
    </row>
    <row r="28" spans="1:10" s="328" customFormat="1" ht="12" customHeight="1">
      <c r="A28" s="356"/>
      <c r="B28" s="867" t="s">
        <v>1046</v>
      </c>
      <c r="C28" s="868">
        <v>9448857</v>
      </c>
      <c r="D28" s="354">
        <v>83644</v>
      </c>
      <c r="E28" s="354">
        <v>12276</v>
      </c>
      <c r="F28" s="353" t="s">
        <v>1047</v>
      </c>
      <c r="G28" s="353"/>
      <c r="H28" s="354">
        <v>217587</v>
      </c>
      <c r="I28" s="354">
        <v>185936</v>
      </c>
      <c r="J28" s="354">
        <v>89430</v>
      </c>
    </row>
    <row r="29" spans="1:10" s="328" customFormat="1" ht="12" customHeight="1">
      <c r="A29" s="356"/>
      <c r="B29" s="867" t="s">
        <v>1048</v>
      </c>
      <c r="C29" s="868">
        <v>396989</v>
      </c>
      <c r="D29" s="354">
        <v>420940</v>
      </c>
      <c r="E29" s="354">
        <v>247000</v>
      </c>
      <c r="F29" s="353" t="s">
        <v>1049</v>
      </c>
      <c r="G29" s="353"/>
      <c r="H29" s="354">
        <v>0</v>
      </c>
      <c r="I29" s="354"/>
      <c r="J29" s="354"/>
    </row>
    <row r="30" spans="1:10" s="328" customFormat="1" ht="12" customHeight="1">
      <c r="A30" s="879"/>
      <c r="B30" s="867" t="s">
        <v>1050</v>
      </c>
      <c r="C30" s="868"/>
      <c r="D30" s="354"/>
      <c r="E30" s="354"/>
      <c r="F30" s="353" t="s">
        <v>1051</v>
      </c>
      <c r="G30" s="353"/>
      <c r="H30" s="354">
        <v>12141</v>
      </c>
      <c r="I30" s="354">
        <v>509306</v>
      </c>
      <c r="J30" s="354">
        <v>8125</v>
      </c>
    </row>
    <row r="31" spans="1:10" s="328" customFormat="1" ht="12" customHeight="1">
      <c r="A31" s="353" t="s">
        <v>1052</v>
      </c>
      <c r="B31" s="353"/>
      <c r="C31" s="354">
        <v>1565477</v>
      </c>
      <c r="D31" s="354">
        <v>888633</v>
      </c>
      <c r="E31" s="354"/>
      <c r="F31" s="353" t="s">
        <v>1053</v>
      </c>
      <c r="G31" s="353"/>
      <c r="H31" s="354">
        <v>75351</v>
      </c>
      <c r="I31" s="354">
        <v>327876</v>
      </c>
      <c r="J31" s="354">
        <v>151410</v>
      </c>
    </row>
    <row r="32" spans="1:10" s="328" customFormat="1" ht="12" customHeight="1">
      <c r="A32" s="356" t="s">
        <v>1054</v>
      </c>
      <c r="B32" s="357"/>
      <c r="C32" s="866">
        <v>23820</v>
      </c>
      <c r="D32" s="354">
        <v>23110</v>
      </c>
      <c r="E32" s="354">
        <v>22309</v>
      </c>
      <c r="F32" s="353" t="s">
        <v>303</v>
      </c>
      <c r="G32" s="353"/>
      <c r="H32" s="354"/>
      <c r="I32" s="354"/>
      <c r="J32" s="354">
        <v>40000</v>
      </c>
    </row>
    <row r="33" spans="1:10" s="328" customFormat="1" ht="12" customHeight="1">
      <c r="A33" s="356" t="s">
        <v>0</v>
      </c>
      <c r="B33" s="357"/>
      <c r="C33" s="866"/>
      <c r="D33" s="354"/>
      <c r="E33" s="354"/>
      <c r="F33" s="353" t="s">
        <v>304</v>
      </c>
      <c r="G33" s="353"/>
      <c r="H33" s="354"/>
      <c r="I33" s="354"/>
      <c r="J33" s="354">
        <v>1483156</v>
      </c>
    </row>
    <row r="34" spans="1:10" s="328" customFormat="1" ht="12" customHeight="1">
      <c r="A34" s="356" t="s">
        <v>1</v>
      </c>
      <c r="B34" s="357"/>
      <c r="C34" s="866">
        <v>133381</v>
      </c>
      <c r="D34" s="354">
        <v>3375147</v>
      </c>
      <c r="E34" s="354"/>
      <c r="F34" s="880" t="s">
        <v>318</v>
      </c>
      <c r="G34" s="880"/>
      <c r="H34" s="352">
        <f>SUM(H26:H33)</f>
        <v>2381539</v>
      </c>
      <c r="I34" s="352">
        <f>SUM(I26:I33)</f>
        <v>4342232</v>
      </c>
      <c r="J34" s="352">
        <f>SUM(J26:J33)</f>
        <v>2066709</v>
      </c>
    </row>
    <row r="35" spans="1:10" s="328" customFormat="1" ht="12" customHeight="1">
      <c r="A35" s="351" t="s">
        <v>2</v>
      </c>
      <c r="B35" s="351"/>
      <c r="C35" s="352">
        <f>SUM(C26:C27,C31:C34)</f>
        <v>11728492</v>
      </c>
      <c r="D35" s="352">
        <f>SUM(D26:D27,D31:D34)</f>
        <v>4922028</v>
      </c>
      <c r="E35" s="352">
        <f>SUM(E26:E27,E31:E34)</f>
        <v>398337</v>
      </c>
      <c r="F35" s="353" t="s">
        <v>305</v>
      </c>
      <c r="G35" s="353"/>
      <c r="H35" s="354">
        <v>98552</v>
      </c>
      <c r="I35" s="354">
        <v>2295963</v>
      </c>
      <c r="J35" s="354">
        <v>145064</v>
      </c>
    </row>
    <row r="36" spans="1:10" s="337" customFormat="1" ht="12" customHeight="1">
      <c r="A36" s="358" t="s">
        <v>3</v>
      </c>
      <c r="B36" s="358"/>
      <c r="C36" s="876">
        <v>0</v>
      </c>
      <c r="D36" s="876">
        <v>0</v>
      </c>
      <c r="E36" s="881">
        <f>J34-E35+J35</f>
        <v>1813436</v>
      </c>
      <c r="F36" s="882"/>
      <c r="G36" s="877"/>
      <c r="H36" s="883"/>
      <c r="I36" s="352"/>
      <c r="J36" s="352"/>
    </row>
    <row r="37" spans="1:10" s="328" customFormat="1" ht="12" customHeight="1">
      <c r="A37" s="351" t="s">
        <v>1008</v>
      </c>
      <c r="B37" s="351"/>
      <c r="C37" s="352">
        <f aca="true" t="shared" si="0" ref="C37:E38">SUM(C23,C35)</f>
        <v>28053414</v>
      </c>
      <c r="D37" s="352">
        <f t="shared" si="0"/>
        <v>21569065</v>
      </c>
      <c r="E37" s="352">
        <f t="shared" si="0"/>
        <v>12991017</v>
      </c>
      <c r="F37" s="884" t="s">
        <v>677</v>
      </c>
      <c r="G37" s="884"/>
      <c r="H37" s="352">
        <f>SUM(H23,H34)+H35</f>
        <v>15516065</v>
      </c>
      <c r="I37" s="352">
        <f>SUM(I23,I34)+I35</f>
        <v>23002698</v>
      </c>
      <c r="J37" s="352">
        <f>SUM(J23,J34)+J35</f>
        <v>16770369</v>
      </c>
    </row>
    <row r="38" spans="1:10" s="337" customFormat="1" ht="12" customHeight="1">
      <c r="A38" s="358" t="s">
        <v>4</v>
      </c>
      <c r="B38" s="358"/>
      <c r="C38" s="876">
        <f t="shared" si="0"/>
        <v>0</v>
      </c>
      <c r="D38" s="876">
        <f t="shared" si="0"/>
        <v>0</v>
      </c>
      <c r="E38" s="881">
        <f t="shared" si="0"/>
        <v>3779352</v>
      </c>
      <c r="F38" s="882"/>
      <c r="G38" s="877"/>
      <c r="H38" s="883"/>
      <c r="I38" s="352"/>
      <c r="J38" s="352"/>
    </row>
    <row r="39" spans="1:10" s="328" customFormat="1" ht="12" customHeight="1">
      <c r="A39" s="356" t="s">
        <v>5</v>
      </c>
      <c r="B39" s="359"/>
      <c r="C39" s="354"/>
      <c r="D39" s="354"/>
      <c r="E39" s="354">
        <v>0</v>
      </c>
      <c r="F39" s="879" t="s">
        <v>6</v>
      </c>
      <c r="G39" s="885"/>
      <c r="H39" s="354"/>
      <c r="I39" s="354"/>
      <c r="J39" s="354">
        <v>0</v>
      </c>
    </row>
    <row r="40" spans="1:10" s="337" customFormat="1" ht="12" customHeight="1">
      <c r="A40" s="882" t="s">
        <v>7</v>
      </c>
      <c r="B40" s="877"/>
      <c r="C40" s="352">
        <f>SUM(C37:C39)</f>
        <v>28053414</v>
      </c>
      <c r="D40" s="352">
        <f>SUM(D37:D39)</f>
        <v>21569065</v>
      </c>
      <c r="E40" s="352">
        <f>SUM(E37:E39)</f>
        <v>16770369</v>
      </c>
      <c r="F40" s="882" t="s">
        <v>7</v>
      </c>
      <c r="G40" s="877"/>
      <c r="H40" s="352">
        <f>SUM(H23,H34,H39)+H35</f>
        <v>15516065</v>
      </c>
      <c r="I40" s="352">
        <f>SUM(I23,I34,I39)+I35</f>
        <v>23002698</v>
      </c>
      <c r="J40" s="352">
        <f>SUM(J23,J34,J39)+J35</f>
        <v>16770369</v>
      </c>
    </row>
  </sheetData>
  <mergeCells count="9">
    <mergeCell ref="F14:G14"/>
    <mergeCell ref="F13:G13"/>
    <mergeCell ref="F21:G21"/>
    <mergeCell ref="F15:G15"/>
    <mergeCell ref="F16:G16"/>
    <mergeCell ref="F18:G18"/>
    <mergeCell ref="F17:G17"/>
    <mergeCell ref="F19:G19"/>
    <mergeCell ref="F20:G20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1"/>
  <headerFooter alignWithMargins="0">
    <oddHeader>&amp;R&amp;"Times New Roman CE,Normál"10.számú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31">
      <selection activeCell="A45" sqref="A45"/>
    </sheetView>
  </sheetViews>
  <sheetFormatPr defaultColWidth="9.140625" defaultRowHeight="12.75"/>
  <cols>
    <col min="1" max="1" width="4.140625" style="41" customWidth="1"/>
    <col min="2" max="2" width="37.00390625" style="40" customWidth="1"/>
    <col min="3" max="3" width="9.8515625" style="40" customWidth="1"/>
    <col min="4" max="4" width="10.7109375" style="27" customWidth="1"/>
    <col min="5" max="5" width="10.00390625" style="27" customWidth="1"/>
    <col min="6" max="6" width="9.8515625" style="1136" customWidth="1"/>
    <col min="7" max="7" width="9.140625" style="134" customWidth="1"/>
    <col min="8" max="8" width="9.28125" style="51" customWidth="1"/>
    <col min="9" max="16384" width="9.140625" style="51" customWidth="1"/>
  </cols>
  <sheetData>
    <row r="1" spans="1:8" s="662" customFormat="1" ht="19.5">
      <c r="A1" s="1357" t="s">
        <v>426</v>
      </c>
      <c r="B1" s="1357"/>
      <c r="C1" s="1357"/>
      <c r="D1" s="1357"/>
      <c r="E1" s="1357"/>
      <c r="F1" s="1357"/>
      <c r="G1" s="1357"/>
      <c r="H1" s="1357"/>
    </row>
    <row r="2" spans="1:8" s="662" customFormat="1" ht="19.5">
      <c r="A2" s="1357" t="s">
        <v>898</v>
      </c>
      <c r="B2" s="1357"/>
      <c r="C2" s="1357"/>
      <c r="D2" s="1357"/>
      <c r="E2" s="1357"/>
      <c r="F2" s="1357"/>
      <c r="G2" s="1357"/>
      <c r="H2" s="1357"/>
    </row>
    <row r="3" ht="12.75">
      <c r="H3" s="41" t="s">
        <v>128</v>
      </c>
    </row>
    <row r="4" spans="1:8" s="378" customFormat="1" ht="37.5" customHeight="1">
      <c r="A4" s="656" t="s">
        <v>169</v>
      </c>
      <c r="B4" s="656" t="s">
        <v>129</v>
      </c>
      <c r="C4" s="656" t="s">
        <v>247</v>
      </c>
      <c r="D4" s="656" t="s">
        <v>911</v>
      </c>
      <c r="E4" s="647" t="s">
        <v>248</v>
      </c>
      <c r="F4" s="988" t="s">
        <v>249</v>
      </c>
      <c r="G4" s="647" t="s">
        <v>256</v>
      </c>
      <c r="H4" s="647" t="s">
        <v>254</v>
      </c>
    </row>
    <row r="5" spans="1:8" ht="12.75" customHeight="1">
      <c r="A5" s="31" t="s">
        <v>524</v>
      </c>
      <c r="B5" s="32" t="s">
        <v>525</v>
      </c>
      <c r="C5" s="32" t="s">
        <v>526</v>
      </c>
      <c r="D5" s="32" t="s">
        <v>729</v>
      </c>
      <c r="E5" s="32" t="s">
        <v>730</v>
      </c>
      <c r="F5" s="1024" t="s">
        <v>731</v>
      </c>
      <c r="G5" s="652" t="s">
        <v>250</v>
      </c>
      <c r="H5" s="652" t="s">
        <v>251</v>
      </c>
    </row>
    <row r="6" spans="1:8" ht="11.25" customHeight="1">
      <c r="A6" s="31"/>
      <c r="B6" s="643" t="s">
        <v>739</v>
      </c>
      <c r="C6" s="1048">
        <f>SUM('3.számú melléklet'!C8+'4.számú melléklet'!C7)</f>
        <v>2434.5</v>
      </c>
      <c r="D6" s="1048">
        <f>SUM('3.számú melléklet'!D8+'4.számú melléklet'!D7)</f>
        <v>2534.5</v>
      </c>
      <c r="E6" s="1048">
        <f>SUM('3.számú melléklet'!E8+'4.számú melléklet'!E7)</f>
        <v>2479</v>
      </c>
      <c r="F6" s="1048">
        <f>SUM('3.számú melléklet'!F8+'4.számú melléklet'!F7)</f>
        <v>2448</v>
      </c>
      <c r="G6" s="652"/>
      <c r="H6" s="660"/>
    </row>
    <row r="7" spans="1:8" s="1" customFormat="1" ht="12.75">
      <c r="A7" s="45" t="s">
        <v>524</v>
      </c>
      <c r="B7" s="39" t="s">
        <v>460</v>
      </c>
      <c r="C7" s="66">
        <f>SUM('3.számú melléklet'!C10+'4.számú melléklet'!C9)</f>
        <v>5721647</v>
      </c>
      <c r="D7" s="66">
        <f>SUM('3.számú melléklet'!D10+'4.számú melléklet'!D9)</f>
        <v>6056497</v>
      </c>
      <c r="E7" s="66">
        <f>SUM('3.számú melléklet'!E10+'4.számú melléklet'!E9)</f>
        <v>6173570</v>
      </c>
      <c r="F7" s="511">
        <f>SUM('3.számú melléklet'!F10+'4.számú melléklet'!F9)</f>
        <v>5932884</v>
      </c>
      <c r="G7" s="106">
        <f>IF(D7=0,0,F7/D7)</f>
        <v>0.9795900171336666</v>
      </c>
      <c r="H7" s="106">
        <f>IF(E7=0,0,F7/E7)</f>
        <v>0.9610134816645798</v>
      </c>
    </row>
    <row r="8" spans="1:8" s="1" customFormat="1" ht="12.75" customHeight="1">
      <c r="A8" s="45" t="s">
        <v>525</v>
      </c>
      <c r="B8" s="39" t="s">
        <v>461</v>
      </c>
      <c r="C8" s="66">
        <f>SUM('3.számú melléklet'!C11+'4.számú melléklet'!C10)</f>
        <v>1866598</v>
      </c>
      <c r="D8" s="66">
        <f>SUM('3.számú melléklet'!D11+'4.számú melléklet'!D10)</f>
        <v>1933507</v>
      </c>
      <c r="E8" s="66">
        <f>SUM('3.számú melléklet'!E11+'4.számú melléklet'!E10)</f>
        <v>1966648</v>
      </c>
      <c r="F8" s="511">
        <f>SUM('3.számú melléklet'!F11+'4.számú melléklet'!F10)</f>
        <v>1901658</v>
      </c>
      <c r="G8" s="106">
        <f aca="true" t="shared" si="0" ref="G8:G46">IF(D8=0,0,F8/D8)</f>
        <v>0.9835278589630139</v>
      </c>
      <c r="H8" s="106">
        <f aca="true" t="shared" si="1" ref="H8:H46">IF(E8=0,0,F8/E8)</f>
        <v>0.9669539236304616</v>
      </c>
    </row>
    <row r="9" spans="1:8" s="1" customFormat="1" ht="12.75">
      <c r="A9" s="45" t="s">
        <v>526</v>
      </c>
      <c r="B9" s="39" t="s">
        <v>462</v>
      </c>
      <c r="C9" s="66">
        <f>SUM('3.számú melléklet'!C16+'4.számú melléklet'!C11)</f>
        <v>4553602</v>
      </c>
      <c r="D9" s="66">
        <f>SUM('3.számú melléklet'!D16+'4.számú melléklet'!D11)</f>
        <v>4262883</v>
      </c>
      <c r="E9" s="66">
        <f>SUM('3.számú melléklet'!E16+'4.számú melléklet'!E11)</f>
        <v>6750255</v>
      </c>
      <c r="F9" s="511">
        <f>SUM('3.számú melléklet'!F16+'4.számú melléklet'!F11)</f>
        <v>4605930</v>
      </c>
      <c r="G9" s="106">
        <f t="shared" si="0"/>
        <v>1.0804730038333212</v>
      </c>
      <c r="H9" s="106">
        <f t="shared" si="1"/>
        <v>0.682334222929356</v>
      </c>
    </row>
    <row r="10" spans="1:8" s="187" customFormat="1" ht="25.5">
      <c r="A10" s="55" t="s">
        <v>729</v>
      </c>
      <c r="B10" s="370" t="s">
        <v>195</v>
      </c>
      <c r="C10" s="442">
        <f>SUM(C11,C13)</f>
        <v>354586</v>
      </c>
      <c r="D10" s="442">
        <f>SUM(D11,D13)</f>
        <v>438737</v>
      </c>
      <c r="E10" s="442">
        <f>SUM(E11,E13)</f>
        <v>967072</v>
      </c>
      <c r="F10" s="442">
        <f>SUM(F11,F13)</f>
        <v>455479</v>
      </c>
      <c r="G10" s="372">
        <f t="shared" si="0"/>
        <v>1.0381595352112998</v>
      </c>
      <c r="H10" s="372">
        <f t="shared" si="1"/>
        <v>0.47098768240627376</v>
      </c>
    </row>
    <row r="11" spans="1:8" ht="12.75" customHeight="1">
      <c r="A11" s="112"/>
      <c r="B11" s="625" t="s">
        <v>401</v>
      </c>
      <c r="C11" s="626">
        <f>SUM('3.számú melléklet'!C18+'4.számú melléklet'!C12)</f>
        <v>47877</v>
      </c>
      <c r="D11" s="626">
        <f>SUM('3.számú melléklet'!D18+'4.számú melléklet'!D12)</f>
        <v>58500</v>
      </c>
      <c r="E11" s="626">
        <f>SUM('3.számú melléklet'!E18+'4.számú melléklet'!E12)</f>
        <v>584447</v>
      </c>
      <c r="F11" s="1140">
        <f>SUM('3.számú melléklet'!F18+'4.számú melléklet'!F12)</f>
        <v>106920</v>
      </c>
      <c r="G11" s="628">
        <f t="shared" si="0"/>
        <v>1.8276923076923077</v>
      </c>
      <c r="H11" s="628">
        <f t="shared" si="1"/>
        <v>0.1829421658422406</v>
      </c>
    </row>
    <row r="12" spans="1:8" ht="12.75" customHeight="1">
      <c r="A12" s="629"/>
      <c r="B12" s="585" t="s">
        <v>447</v>
      </c>
      <c r="C12" s="630">
        <f>SUM('3.számú melléklet'!C19+'4.számú melléklet'!C14)</f>
        <v>0</v>
      </c>
      <c r="D12" s="630">
        <f>SUM('3.számú melléklet'!D19+'4.számú melléklet'!D14)</f>
        <v>0</v>
      </c>
      <c r="E12" s="630">
        <f>SUM('3.számú melléklet'!E19+'4.számú melléklet'!E14)</f>
        <v>420037</v>
      </c>
      <c r="F12" s="1232">
        <f>SUM('3.számú melléklet'!F19+'4.számú melléklet'!F14)</f>
        <v>0</v>
      </c>
      <c r="G12" s="632">
        <f>IF(D12=0,0,F12/D12)</f>
        <v>0</v>
      </c>
      <c r="H12" s="632">
        <f>IF(E12=0,0,F12/E12)</f>
        <v>0</v>
      </c>
    </row>
    <row r="13" spans="1:8" s="378" customFormat="1" ht="25.5">
      <c r="A13" s="56"/>
      <c r="B13" s="444" t="s">
        <v>402</v>
      </c>
      <c r="C13" s="380">
        <f>SUM('3.számú melléklet'!C20+'4.számú melléklet'!C15)</f>
        <v>306709</v>
      </c>
      <c r="D13" s="380">
        <f>SUM('3.számú melléklet'!D20+'4.számú melléklet'!D15)</f>
        <v>380237</v>
      </c>
      <c r="E13" s="380">
        <f>SUM('3.számú melléklet'!E20+'4.számú melléklet'!E15)</f>
        <v>382625</v>
      </c>
      <c r="F13" s="442">
        <f>SUM('3.számú melléklet'!F20+'4.számú melléklet'!F15)</f>
        <v>348559</v>
      </c>
      <c r="G13" s="376">
        <f t="shared" si="0"/>
        <v>0.9166888019840258</v>
      </c>
      <c r="H13" s="376">
        <f t="shared" si="1"/>
        <v>0.9109676576282261</v>
      </c>
    </row>
    <row r="14" spans="1:8" s="1" customFormat="1" ht="12" customHeight="1">
      <c r="A14" s="45" t="s">
        <v>730</v>
      </c>
      <c r="B14" s="39" t="s">
        <v>725</v>
      </c>
      <c r="C14" s="66">
        <f>SUM('3.számú melléklet'!C21+'4.számú melléklet'!C19)</f>
        <v>539541</v>
      </c>
      <c r="D14" s="66">
        <f>SUM('3.számú melléklet'!D21+'4.számú melléklet'!D19)</f>
        <v>566495</v>
      </c>
      <c r="E14" s="66">
        <f>SUM('3.számú melléklet'!E21+'4.számú melléklet'!E19)</f>
        <v>506958</v>
      </c>
      <c r="F14" s="511">
        <f>SUM('3.számú melléklet'!F21+'4.számú melléklet'!F19)</f>
        <v>527056</v>
      </c>
      <c r="G14" s="106">
        <f t="shared" si="0"/>
        <v>0.9303806741454028</v>
      </c>
      <c r="H14" s="106">
        <f t="shared" si="1"/>
        <v>1.0396443097850314</v>
      </c>
    </row>
    <row r="15" spans="1:8" s="1" customFormat="1" ht="12" customHeight="1">
      <c r="A15" s="45" t="s">
        <v>731</v>
      </c>
      <c r="B15" s="39" t="s">
        <v>83</v>
      </c>
      <c r="C15" s="66">
        <f>SUM('3.számú melléklet'!C22+'4.számú melléklet'!C20)</f>
        <v>0</v>
      </c>
      <c r="D15" s="66">
        <f>SUM('3.számú melléklet'!D22+'4.számú melléklet'!D20)</f>
        <v>0</v>
      </c>
      <c r="E15" s="66">
        <f>SUM('3.számú melléklet'!E22+'4.számú melléklet'!E20)</f>
        <v>0</v>
      </c>
      <c r="F15" s="511">
        <f>SUM('3.számú melléklet'!F22+'4.számú melléklet'!F20)</f>
        <v>29515</v>
      </c>
      <c r="G15" s="106">
        <f>IF(D15=0,0,F15/D15)</f>
        <v>0</v>
      </c>
      <c r="H15" s="106">
        <f>IF(E15=0,0,F15/E15)</f>
        <v>0</v>
      </c>
    </row>
    <row r="16" spans="1:8" s="2" customFormat="1" ht="13.5">
      <c r="A16" s="113" t="s">
        <v>805</v>
      </c>
      <c r="B16" s="114" t="s">
        <v>673</v>
      </c>
      <c r="C16" s="68">
        <f>SUM(C7,C8,C9,C10,C14,C15)</f>
        <v>13035974</v>
      </c>
      <c r="D16" s="68">
        <f>SUM(D7,D8,D9,D10,D14,D15)</f>
        <v>13258119</v>
      </c>
      <c r="E16" s="68">
        <f>SUM(E7,E8,E9,E10,E14,E15)</f>
        <v>16364503</v>
      </c>
      <c r="F16" s="68">
        <f>SUM(F7,F8,F9,F10,F14,F15)</f>
        <v>13452522</v>
      </c>
      <c r="G16" s="115">
        <f t="shared" si="0"/>
        <v>1.0146629397428097</v>
      </c>
      <c r="H16" s="115">
        <f t="shared" si="1"/>
        <v>0.8220550297188983</v>
      </c>
    </row>
    <row r="17" spans="1:8" s="1" customFormat="1" ht="12.75">
      <c r="A17" s="42"/>
      <c r="B17" s="38" t="s">
        <v>200</v>
      </c>
      <c r="C17" s="65">
        <f>SUM('3.számú melléklet'!C24+'4.számú melléklet'!C22)</f>
        <v>295129</v>
      </c>
      <c r="D17" s="65">
        <f>SUM('3.számú melléklet'!D24+'4.számú melléklet'!D22)</f>
        <v>11000</v>
      </c>
      <c r="E17" s="65">
        <f>SUM('3.számú melléklet'!E24+'4.számú melléklet'!E22)</f>
        <v>549668</v>
      </c>
      <c r="F17" s="511">
        <f>SUM('3.számú melléklet'!F24+'4.számú melléklet'!F22)</f>
        <v>14000</v>
      </c>
      <c r="G17" s="107">
        <f t="shared" si="0"/>
        <v>1.2727272727272727</v>
      </c>
      <c r="H17" s="107">
        <f t="shared" si="1"/>
        <v>0.025469920024451122</v>
      </c>
    </row>
    <row r="18" spans="1:8" s="1" customFormat="1" ht="12.75" customHeight="1">
      <c r="A18" s="42"/>
      <c r="B18" s="38" t="s">
        <v>341</v>
      </c>
      <c r="C18" s="65">
        <f>SUM('4.számú melléklet'!C23)</f>
        <v>23141</v>
      </c>
      <c r="D18" s="65">
        <f>SUM('4.számú melléklet'!D23)</f>
        <v>51500</v>
      </c>
      <c r="E18" s="65">
        <f>SUM('4.számú melléklet'!E23)</f>
        <v>40403</v>
      </c>
      <c r="F18" s="511">
        <f>SUM('4.számú melléklet'!F23)</f>
        <v>60536</v>
      </c>
      <c r="G18" s="107">
        <f t="shared" si="0"/>
        <v>1.1754563106796116</v>
      </c>
      <c r="H18" s="107">
        <f>IF(E18=0,0,F18/E18)</f>
        <v>1.4983045813429696</v>
      </c>
    </row>
    <row r="19" spans="1:8" s="1" customFormat="1" ht="12.75">
      <c r="A19" s="42"/>
      <c r="B19" s="38" t="s">
        <v>201</v>
      </c>
      <c r="C19" s="65">
        <f>SUM('4.számú melléklet'!C24)</f>
        <v>187080</v>
      </c>
      <c r="D19" s="65">
        <f>SUM('4.számú melléklet'!D24)</f>
        <v>0</v>
      </c>
      <c r="E19" s="65">
        <f>SUM('4.számú melléklet'!E24)</f>
        <v>251778</v>
      </c>
      <c r="F19" s="511">
        <f>SUM('4.számú melléklet'!F24)</f>
        <v>0</v>
      </c>
      <c r="G19" s="107">
        <f t="shared" si="0"/>
        <v>0</v>
      </c>
      <c r="H19" s="107">
        <f t="shared" si="1"/>
        <v>0</v>
      </c>
    </row>
    <row r="20" spans="1:8" s="1" customFormat="1" ht="12.75">
      <c r="A20" s="42"/>
      <c r="B20" s="38" t="s">
        <v>202</v>
      </c>
      <c r="C20" s="65">
        <f>SUM('4.számú melléklet'!C25)</f>
        <v>24246</v>
      </c>
      <c r="D20" s="65">
        <f>SUM('4.számú melléklet'!D25)</f>
        <v>10000</v>
      </c>
      <c r="E20" s="65">
        <f>SUM('4.számú melléklet'!E25)</f>
        <v>214736</v>
      </c>
      <c r="F20" s="511">
        <f>SUM('4.számú melléklet'!F25)</f>
        <v>0</v>
      </c>
      <c r="G20" s="107">
        <f t="shared" si="0"/>
        <v>0</v>
      </c>
      <c r="H20" s="107">
        <f t="shared" si="1"/>
        <v>0</v>
      </c>
    </row>
    <row r="21" spans="1:8" s="1" customFormat="1" ht="12.75">
      <c r="A21" s="45" t="s">
        <v>732</v>
      </c>
      <c r="B21" s="39" t="s">
        <v>109</v>
      </c>
      <c r="C21" s="66">
        <f>SUM(C17:C20)</f>
        <v>529596</v>
      </c>
      <c r="D21" s="66">
        <f>SUM(D17:D20)</f>
        <v>72500</v>
      </c>
      <c r="E21" s="66">
        <f>SUM(E17:E20)</f>
        <v>1056585</v>
      </c>
      <c r="F21" s="511">
        <f>SUM(F17:F20)</f>
        <v>74536</v>
      </c>
      <c r="G21" s="106">
        <f t="shared" si="0"/>
        <v>1.0280827586206898</v>
      </c>
      <c r="H21" s="106">
        <f t="shared" si="1"/>
        <v>0.07054425342021702</v>
      </c>
    </row>
    <row r="22" spans="1:8" s="1" customFormat="1" ht="12.75">
      <c r="A22" s="45" t="s">
        <v>733</v>
      </c>
      <c r="B22" s="39" t="s">
        <v>203</v>
      </c>
      <c r="C22" s="66">
        <f>SUM('3.számú melléklet'!C25+'4.számú melléklet'!C27)</f>
        <v>217587</v>
      </c>
      <c r="D22" s="66">
        <f>SUM('3.számú melléklet'!D25+'4.számú melléklet'!D27)</f>
        <v>66672</v>
      </c>
      <c r="E22" s="66">
        <f>SUM('3.számú melléklet'!E25+'4.számú melléklet'!E27)</f>
        <v>185936</v>
      </c>
      <c r="F22" s="511">
        <f>SUM('3.számú melléklet'!F25+'4.számú melléklet'!F27)</f>
        <v>89430</v>
      </c>
      <c r="G22" s="106">
        <f t="shared" si="0"/>
        <v>1.3413426925845933</v>
      </c>
      <c r="H22" s="106">
        <f t="shared" si="1"/>
        <v>0.480971947336718</v>
      </c>
    </row>
    <row r="23" spans="1:8" s="1" customFormat="1" ht="12.75">
      <c r="A23" s="45" t="s">
        <v>734</v>
      </c>
      <c r="B23" s="39" t="s">
        <v>204</v>
      </c>
      <c r="C23" s="66">
        <f>SUM('4.számú melléklet'!C28)</f>
        <v>1546864</v>
      </c>
      <c r="D23" s="66">
        <f>SUM('4.számú melléklet'!D28)</f>
        <v>649669</v>
      </c>
      <c r="E23" s="66">
        <f>SUM('4.számú melléklet'!E28)</f>
        <v>2262529</v>
      </c>
      <c r="F23" s="511">
        <f>SUM('4.számú melléklet'!F28)</f>
        <v>220052</v>
      </c>
      <c r="G23" s="106">
        <f t="shared" si="0"/>
        <v>0.3387140220635431</v>
      </c>
      <c r="H23" s="106">
        <f t="shared" si="1"/>
        <v>0.09725930584757146</v>
      </c>
    </row>
    <row r="24" spans="1:8" s="1" customFormat="1" ht="12.75">
      <c r="A24" s="45" t="s">
        <v>735</v>
      </c>
      <c r="B24" s="39" t="s">
        <v>205</v>
      </c>
      <c r="C24" s="66">
        <f>SUM('4.számú melléklet'!C29)</f>
        <v>0</v>
      </c>
      <c r="D24" s="66">
        <f>SUM('4.számú melléklet'!D29)</f>
        <v>0</v>
      </c>
      <c r="E24" s="66">
        <f>SUM('4.számú melléklet'!E29)</f>
        <v>0</v>
      </c>
      <c r="F24" s="511">
        <f>SUM('4.számú melléklet'!F29)</f>
        <v>0</v>
      </c>
      <c r="G24" s="106">
        <f t="shared" si="0"/>
        <v>0</v>
      </c>
      <c r="H24" s="106">
        <f t="shared" si="1"/>
        <v>0</v>
      </c>
    </row>
    <row r="25" spans="1:8" s="187" customFormat="1" ht="25.5">
      <c r="A25" s="55" t="s">
        <v>736</v>
      </c>
      <c r="B25" s="370" t="s">
        <v>196</v>
      </c>
      <c r="C25" s="442">
        <f>SUM(C26,C28)</f>
        <v>75351</v>
      </c>
      <c r="D25" s="442">
        <f>SUM(D26,D28)</f>
        <v>207732</v>
      </c>
      <c r="E25" s="442">
        <f>SUM(E26,E28)</f>
        <v>327876</v>
      </c>
      <c r="F25" s="442">
        <f>SUM(F26,F28)</f>
        <v>151410</v>
      </c>
      <c r="G25" s="372">
        <f t="shared" si="0"/>
        <v>0.7288718156085726</v>
      </c>
      <c r="H25" s="372">
        <f t="shared" si="1"/>
        <v>0.46179043296856126</v>
      </c>
    </row>
    <row r="26" spans="1:8" ht="12.75">
      <c r="A26" s="112"/>
      <c r="B26" s="625" t="s">
        <v>403</v>
      </c>
      <c r="C26" s="626">
        <f>SUM('3.számú melléklet'!C28+'4.számú melléklet'!C30)</f>
        <v>5777</v>
      </c>
      <c r="D26" s="626">
        <f>SUM('3.számú melléklet'!D28+'4.számú melléklet'!D30)</f>
        <v>91501</v>
      </c>
      <c r="E26" s="626">
        <f>SUM('3.számú melléklet'!E28+'4.számú melléklet'!E30)</f>
        <v>212880</v>
      </c>
      <c r="F26" s="1140">
        <f>SUM('3.számú melléklet'!F28+'4.számú melléklet'!F30)</f>
        <v>118446</v>
      </c>
      <c r="G26" s="628">
        <f t="shared" si="0"/>
        <v>1.2944776559819018</v>
      </c>
      <c r="H26" s="628">
        <f t="shared" si="1"/>
        <v>0.5563979706877114</v>
      </c>
    </row>
    <row r="27" spans="1:8" ht="12.75">
      <c r="A27" s="629"/>
      <c r="B27" s="585" t="s">
        <v>447</v>
      </c>
      <c r="C27" s="630">
        <f>SUM('3.számú melléklet'!C29+'4.számú melléklet'!C32)</f>
        <v>0</v>
      </c>
      <c r="D27" s="630">
        <f>SUM('3.számú melléklet'!D29+'4.számú melléklet'!D32)</f>
        <v>0</v>
      </c>
      <c r="E27" s="630">
        <f>SUM('3.számú melléklet'!E29+'4.számú melléklet'!E32)</f>
        <v>183770</v>
      </c>
      <c r="F27" s="1232">
        <f>SUM('3.számú melléklet'!F29+'4.számú melléklet'!F32)</f>
        <v>0</v>
      </c>
      <c r="G27" s="632">
        <f>IF(D27=0,0,F27/D27)</f>
        <v>0</v>
      </c>
      <c r="H27" s="632">
        <f>IF(E27=0,0,F27/E27)</f>
        <v>0</v>
      </c>
    </row>
    <row r="28" spans="1:8" s="378" customFormat="1" ht="25.5" customHeight="1">
      <c r="A28" s="56"/>
      <c r="B28" s="444" t="s">
        <v>404</v>
      </c>
      <c r="C28" s="380">
        <f>SUM('3.számú melléklet'!C30+'4.számú melléklet'!C34)</f>
        <v>69574</v>
      </c>
      <c r="D28" s="380">
        <f>SUM('3.számú melléklet'!D30+'4.számú melléklet'!D34)</f>
        <v>116231</v>
      </c>
      <c r="E28" s="380">
        <f>SUM('3.számú melléklet'!E30+'4.számú melléklet'!E34)</f>
        <v>114996</v>
      </c>
      <c r="F28" s="442">
        <f>SUM('3.számú melléklet'!F30+'4.számú melléklet'!F34)</f>
        <v>32964</v>
      </c>
      <c r="G28" s="376">
        <f t="shared" si="0"/>
        <v>0.28360764339978145</v>
      </c>
      <c r="H28" s="376">
        <f t="shared" si="1"/>
        <v>0.286653448815611</v>
      </c>
    </row>
    <row r="29" spans="1:8" s="369" customFormat="1" ht="24.75" customHeight="1">
      <c r="A29" s="117" t="s">
        <v>327</v>
      </c>
      <c r="B29" s="367" t="s">
        <v>588</v>
      </c>
      <c r="C29" s="25">
        <f>SUM(C21,C22,C23,C24,C25)</f>
        <v>2369398</v>
      </c>
      <c r="D29" s="25">
        <f>SUM(D21,D22,D23,D24,D25)</f>
        <v>996573</v>
      </c>
      <c r="E29" s="25">
        <f>SUM(E21,E22,E23,E24,E25)</f>
        <v>3832926</v>
      </c>
      <c r="F29" s="513">
        <f>SUM(F21,F22,F23,F24,F25)</f>
        <v>535428</v>
      </c>
      <c r="G29" s="368">
        <f t="shared" si="0"/>
        <v>0.5372692216225003</v>
      </c>
      <c r="H29" s="368">
        <f t="shared" si="1"/>
        <v>0.1396917133281467</v>
      </c>
    </row>
    <row r="30" spans="1:8" s="369" customFormat="1" ht="12.75" customHeight="1">
      <c r="A30" s="117"/>
      <c r="B30" s="374" t="s">
        <v>634</v>
      </c>
      <c r="C30" s="375">
        <f>SUM('4.számú melléklet'!C42)</f>
        <v>0</v>
      </c>
      <c r="D30" s="375">
        <f>SUM('4.számú melléklet'!D42)</f>
        <v>498000</v>
      </c>
      <c r="E30" s="375">
        <f>SUM('4.számú melléklet'!E42)</f>
        <v>498000</v>
      </c>
      <c r="F30" s="1091">
        <f>SUM('4.számú melléklet'!F42)</f>
        <v>0</v>
      </c>
      <c r="G30" s="376">
        <f aca="true" t="shared" si="2" ref="G30:G37">IF(D30=0,0,F30/D30)</f>
        <v>0</v>
      </c>
      <c r="H30" s="377">
        <f aca="true" t="shared" si="3" ref="H30:H37">IF(E30=0,0,F30/E30)</f>
        <v>0</v>
      </c>
    </row>
    <row r="31" spans="1:8" s="369" customFormat="1" ht="12.75" customHeight="1">
      <c r="A31" s="117"/>
      <c r="B31" s="645" t="s">
        <v>912</v>
      </c>
      <c r="C31" s="375">
        <f>SUM('4.számú melléklet'!C43)</f>
        <v>12141</v>
      </c>
      <c r="D31" s="375">
        <f>SUM('4.számú melléklet'!D43)</f>
        <v>7332</v>
      </c>
      <c r="E31" s="375">
        <f>SUM('4.számú melléklet'!E43)</f>
        <v>11306</v>
      </c>
      <c r="F31" s="1133">
        <f>SUM('4.számú melléklet'!F43)</f>
        <v>8125</v>
      </c>
      <c r="G31" s="376">
        <f t="shared" si="2"/>
        <v>1.1081560283687943</v>
      </c>
      <c r="H31" s="377">
        <f t="shared" si="3"/>
        <v>0.7186449672740138</v>
      </c>
    </row>
    <row r="32" spans="1:8" s="369" customFormat="1" ht="13.5" customHeight="1">
      <c r="A32" s="649" t="s">
        <v>338</v>
      </c>
      <c r="B32" s="462" t="s">
        <v>706</v>
      </c>
      <c r="C32" s="285">
        <f>SUM(C30:C31)</f>
        <v>12141</v>
      </c>
      <c r="D32" s="285">
        <f>SUM(D30:D31)</f>
        <v>505332</v>
      </c>
      <c r="E32" s="285">
        <f>SUM(E30:E31)</f>
        <v>509306</v>
      </c>
      <c r="F32" s="285">
        <f>SUM(F30:F31)</f>
        <v>8125</v>
      </c>
      <c r="G32" s="106">
        <f t="shared" si="2"/>
        <v>0.0160785384658007</v>
      </c>
      <c r="H32" s="143">
        <f t="shared" si="3"/>
        <v>0.01595308125174257</v>
      </c>
    </row>
    <row r="33" spans="1:8" s="369" customFormat="1" ht="13.5" customHeight="1">
      <c r="A33" s="45" t="s">
        <v>737</v>
      </c>
      <c r="B33" s="39" t="s">
        <v>750</v>
      </c>
      <c r="C33" s="285">
        <f>SUM('4.számú melléklet'!C45)</f>
        <v>0</v>
      </c>
      <c r="D33" s="285">
        <f>SUM('4.számú melléklet'!D45)</f>
        <v>628235</v>
      </c>
      <c r="E33" s="285">
        <f>SUM('4.számú melléklet'!E45)</f>
        <v>0</v>
      </c>
      <c r="F33" s="285">
        <f>SUM('4.számú melléklet'!F45)</f>
        <v>2123250</v>
      </c>
      <c r="G33" s="106">
        <f t="shared" si="2"/>
        <v>3.3797066384394374</v>
      </c>
      <c r="H33" s="106">
        <f t="shared" si="3"/>
        <v>0</v>
      </c>
    </row>
    <row r="34" spans="1:8" s="369" customFormat="1" ht="13.5" customHeight="1">
      <c r="A34" s="45" t="s">
        <v>738</v>
      </c>
      <c r="B34" s="349" t="s">
        <v>357</v>
      </c>
      <c r="C34" s="285">
        <f>SUM('4.számú melléklet'!C46)</f>
        <v>0</v>
      </c>
      <c r="D34" s="285">
        <f>SUM('4.számú melléklet'!D46)</f>
        <v>62000</v>
      </c>
      <c r="E34" s="285">
        <f>SUM('4.számú melléklet'!E46)</f>
        <v>0</v>
      </c>
      <c r="F34" s="285">
        <f>SUM('4.számú melléklet'!F46)</f>
        <v>62000</v>
      </c>
      <c r="G34" s="106">
        <f t="shared" si="2"/>
        <v>1</v>
      </c>
      <c r="H34" s="106">
        <f t="shared" si="3"/>
        <v>0</v>
      </c>
    </row>
    <row r="35" spans="1:8" s="369" customFormat="1" ht="13.5" customHeight="1">
      <c r="A35" s="45" t="s">
        <v>811</v>
      </c>
      <c r="B35" s="39" t="s">
        <v>937</v>
      </c>
      <c r="C35" s="285">
        <f>SUM('4.számú melléklet'!C47)</f>
        <v>0</v>
      </c>
      <c r="D35" s="285">
        <f>SUM('4.számú melléklet'!D47)</f>
        <v>763404</v>
      </c>
      <c r="E35" s="285">
        <f>SUM('4.számú melléklet'!E47)</f>
        <v>0</v>
      </c>
      <c r="F35" s="285">
        <f>SUM('4.számú melléklet'!F47)</f>
        <v>443980</v>
      </c>
      <c r="G35" s="106">
        <f t="shared" si="2"/>
        <v>0.5815793472394696</v>
      </c>
      <c r="H35" s="106">
        <f t="shared" si="3"/>
        <v>0</v>
      </c>
    </row>
    <row r="36" spans="1:8" s="369" customFormat="1" ht="13.5" customHeight="1">
      <c r="A36" s="113" t="s">
        <v>601</v>
      </c>
      <c r="B36" s="114" t="s">
        <v>589</v>
      </c>
      <c r="C36" s="331">
        <f>SUM(C33:C35)</f>
        <v>0</v>
      </c>
      <c r="D36" s="331">
        <f>SUM(D33:D35)</f>
        <v>1453639</v>
      </c>
      <c r="E36" s="331">
        <f>SUM(E33:E35)</f>
        <v>0</v>
      </c>
      <c r="F36" s="331">
        <f>SUM(F33:F35)</f>
        <v>2629230</v>
      </c>
      <c r="G36" s="638">
        <f t="shared" si="2"/>
        <v>1.8087227984389522</v>
      </c>
      <c r="H36" s="638">
        <f t="shared" si="3"/>
        <v>0</v>
      </c>
    </row>
    <row r="37" spans="1:8" s="369" customFormat="1" ht="13.5" customHeight="1">
      <c r="A37" s="113"/>
      <c r="B37" s="114" t="s">
        <v>558</v>
      </c>
      <c r="C37" s="331">
        <f>SUM(C16,C29,C32,C36)</f>
        <v>15417513</v>
      </c>
      <c r="D37" s="331">
        <f>SUM(D16,D29,D32,D36)</f>
        <v>16213663</v>
      </c>
      <c r="E37" s="331">
        <f>SUM(E16,E29,E32,E36)</f>
        <v>20706735</v>
      </c>
      <c r="F37" s="331">
        <f>SUM(F16,F29,F32,F36)</f>
        <v>16625305</v>
      </c>
      <c r="G37" s="638">
        <f t="shared" si="2"/>
        <v>1.0253885873907704</v>
      </c>
      <c r="H37" s="638">
        <f t="shared" si="3"/>
        <v>0.8028935995945281</v>
      </c>
    </row>
    <row r="38" spans="1:8" ht="12.75" customHeight="1">
      <c r="A38" s="42"/>
      <c r="B38" s="38" t="s">
        <v>187</v>
      </c>
      <c r="C38" s="196">
        <f>SUM('4.számú melléklet'!C50)</f>
        <v>98552</v>
      </c>
      <c r="D38" s="196">
        <f>SUM('4.számú melléklet'!D50)</f>
        <v>145064</v>
      </c>
      <c r="E38" s="196">
        <f>SUM('4.számú melléklet'!E50)</f>
        <v>145064</v>
      </c>
      <c r="F38" s="515">
        <f>SUM('4.számú melléklet'!F50)</f>
        <v>145064</v>
      </c>
      <c r="G38" s="107">
        <f t="shared" si="0"/>
        <v>1</v>
      </c>
      <c r="H38" s="107">
        <f t="shared" si="1"/>
        <v>1</v>
      </c>
    </row>
    <row r="39" spans="1:8" ht="12.75" customHeight="1">
      <c r="A39" s="42"/>
      <c r="B39" s="38" t="s">
        <v>188</v>
      </c>
      <c r="C39" s="196">
        <f>SUM('4.számú melléklet'!C51)</f>
        <v>0</v>
      </c>
      <c r="D39" s="196">
        <f>SUM('4.számú melléklet'!D51)</f>
        <v>0</v>
      </c>
      <c r="E39" s="196">
        <f>SUM('4.számú melléklet'!E51)</f>
        <v>2150899</v>
      </c>
      <c r="F39" s="515">
        <f>SUM('4.számú melléklet'!F51)</f>
        <v>0</v>
      </c>
      <c r="G39" s="107">
        <f t="shared" si="0"/>
        <v>0</v>
      </c>
      <c r="H39" s="107">
        <f t="shared" si="1"/>
        <v>0</v>
      </c>
    </row>
    <row r="40" spans="1:8" s="2" customFormat="1" ht="13.5">
      <c r="A40" s="113" t="s">
        <v>524</v>
      </c>
      <c r="B40" s="114" t="s">
        <v>110</v>
      </c>
      <c r="C40" s="68">
        <f>SUM(C38:C39)</f>
        <v>98552</v>
      </c>
      <c r="D40" s="68">
        <f>SUM(D38:D39)</f>
        <v>145064</v>
      </c>
      <c r="E40" s="68">
        <f>SUM(E38:E39)</f>
        <v>2295963</v>
      </c>
      <c r="F40" s="512">
        <f>SUM(F38:F39)</f>
        <v>145064</v>
      </c>
      <c r="G40" s="115">
        <f t="shared" si="0"/>
        <v>1</v>
      </c>
      <c r="H40" s="144">
        <f t="shared" si="1"/>
        <v>0.06318220284908772</v>
      </c>
    </row>
    <row r="41" spans="1:8" s="2" customFormat="1" ht="12.75">
      <c r="A41" s="686" t="s">
        <v>525</v>
      </c>
      <c r="B41" s="38" t="s">
        <v>476</v>
      </c>
      <c r="C41" s="1126">
        <v>0</v>
      </c>
      <c r="D41" s="1126">
        <v>0</v>
      </c>
      <c r="E41" s="1127">
        <v>0</v>
      </c>
      <c r="F41" s="1233">
        <v>0</v>
      </c>
      <c r="G41" s="107">
        <f>IF(D41=0,0,E41/D41)</f>
        <v>0</v>
      </c>
      <c r="H41" s="453">
        <f>IF(E41=0,0,F41/E41)</f>
        <v>0</v>
      </c>
    </row>
    <row r="42" spans="1:8" s="116" customFormat="1" ht="13.5">
      <c r="A42" s="113" t="s">
        <v>123</v>
      </c>
      <c r="B42" s="114" t="s">
        <v>560</v>
      </c>
      <c r="C42" s="331">
        <f>SUM(C40:C41)</f>
        <v>98552</v>
      </c>
      <c r="D42" s="331">
        <f>SUM(D40:D41)</f>
        <v>145064</v>
      </c>
      <c r="E42" s="331">
        <f>SUM(E40:E41)</f>
        <v>2295963</v>
      </c>
      <c r="F42" s="331">
        <f>SUM(F40:F41)</f>
        <v>145064</v>
      </c>
      <c r="G42" s="115">
        <f>IF(D42=0,0,F42/D42)</f>
        <v>1</v>
      </c>
      <c r="H42" s="115">
        <f>IF(E42=0,0,F42/E42)</f>
        <v>0.06318220284908772</v>
      </c>
    </row>
    <row r="43" spans="1:8" s="116" customFormat="1" ht="13.5">
      <c r="A43" s="1128"/>
      <c r="B43" s="1129" t="s">
        <v>273</v>
      </c>
      <c r="C43" s="1130">
        <f>SUM(C37,C42)</f>
        <v>15516065</v>
      </c>
      <c r="D43" s="1130">
        <f>SUM(D37,D42)</f>
        <v>16358727</v>
      </c>
      <c r="E43" s="1130">
        <f>SUM(E37,E42)</f>
        <v>23002698</v>
      </c>
      <c r="F43" s="1130">
        <f>SUM(F37,F42)</f>
        <v>16770369</v>
      </c>
      <c r="G43" s="115">
        <f>IF(D43=0,0,F43/D43)</f>
        <v>1.025163449454227</v>
      </c>
      <c r="H43" s="115">
        <f>IF(E43=0,0,F43/E43)</f>
        <v>0.7290609562408723</v>
      </c>
    </row>
    <row r="44" spans="1:8" s="332" customFormat="1" ht="12.75" customHeight="1">
      <c r="A44" s="650" t="s">
        <v>788</v>
      </c>
      <c r="B44" s="334" t="s">
        <v>481</v>
      </c>
      <c r="C44" s="335">
        <f>SUM('4.számú melléklet'!C54)</f>
        <v>7369746</v>
      </c>
      <c r="D44" s="335">
        <f>SUM('4.számú melléklet'!D54)</f>
        <v>7528303</v>
      </c>
      <c r="E44" s="335">
        <f>SUM('4.számú melléklet'!E54)</f>
        <v>7971952</v>
      </c>
      <c r="F44" s="521">
        <f>SUM('4.számú melléklet'!F54)</f>
        <v>7439104</v>
      </c>
      <c r="G44" s="336">
        <f>IF(D44=0,0,F44/D44)</f>
        <v>0.9881515130302274</v>
      </c>
      <c r="H44" s="336">
        <f>IF(E44=0,0,F44/E44)</f>
        <v>0.9331596577601069</v>
      </c>
    </row>
    <row r="45" spans="1:8" s="187" customFormat="1" ht="25.5">
      <c r="A45" s="651" t="s">
        <v>789</v>
      </c>
      <c r="B45" s="370" t="s">
        <v>344</v>
      </c>
      <c r="C45" s="371">
        <f>SUM('3.számú melléklet'!C49)*-1</f>
        <v>-7369746</v>
      </c>
      <c r="D45" s="371">
        <f>SUM('3.számú melléklet'!D49)*-1</f>
        <v>-7528303</v>
      </c>
      <c r="E45" s="371">
        <f>SUM('3.számú melléklet'!E49)*-1</f>
        <v>-7971952</v>
      </c>
      <c r="F45" s="442">
        <f>SUM('3.számú melléklet'!F49)*-1</f>
        <v>-7439104</v>
      </c>
      <c r="G45" s="372">
        <f>IF(D45=0,0,F45/D45)</f>
        <v>0.9881515130302274</v>
      </c>
      <c r="H45" s="372">
        <f>IF(E45=0,0,F45/E45)</f>
        <v>0.9331596577601069</v>
      </c>
    </row>
    <row r="46" spans="1:8" s="116" customFormat="1" ht="13.5" customHeight="1">
      <c r="A46" s="113"/>
      <c r="B46" s="114" t="s">
        <v>559</v>
      </c>
      <c r="C46" s="25">
        <f>SUM(C43:C45)</f>
        <v>15516065</v>
      </c>
      <c r="D46" s="25">
        <f>SUM(D43:D45)</f>
        <v>16358727</v>
      </c>
      <c r="E46" s="25">
        <f>SUM(E43:E45)</f>
        <v>23002698</v>
      </c>
      <c r="F46" s="25">
        <f>SUM(F43:F45)</f>
        <v>16770369</v>
      </c>
      <c r="G46" s="115">
        <f t="shared" si="0"/>
        <v>1.025163449454227</v>
      </c>
      <c r="H46" s="115">
        <f t="shared" si="1"/>
        <v>0.7290609562408723</v>
      </c>
    </row>
    <row r="47" spans="1:7" s="661" customFormat="1" ht="12.75">
      <c r="A47" s="52"/>
      <c r="B47" s="47"/>
      <c r="C47" s="47"/>
      <c r="D47" s="52"/>
      <c r="E47" s="52"/>
      <c r="F47" s="1234"/>
      <c r="G47" s="135"/>
    </row>
    <row r="48" spans="1:7" s="661" customFormat="1" ht="12.75">
      <c r="A48" s="52"/>
      <c r="B48" s="47"/>
      <c r="C48" s="47"/>
      <c r="D48" s="52"/>
      <c r="E48" s="52"/>
      <c r="F48" s="1234"/>
      <c r="G48" s="135"/>
    </row>
    <row r="49" spans="1:7" ht="12.75">
      <c r="A49" s="46"/>
      <c r="B49" s="47"/>
      <c r="C49" s="47"/>
      <c r="D49" s="33"/>
      <c r="E49" s="33"/>
      <c r="F49" s="1235"/>
      <c r="G49" s="136"/>
    </row>
    <row r="50" spans="1:7" ht="12.75" customHeight="1">
      <c r="A50" s="46"/>
      <c r="B50" s="47"/>
      <c r="C50" s="47"/>
      <c r="D50" s="33"/>
      <c r="E50" s="33"/>
      <c r="F50" s="1235"/>
      <c r="G50" s="136"/>
    </row>
    <row r="51" spans="1:7" ht="12.75" customHeight="1">
      <c r="A51" s="46"/>
      <c r="B51" s="47"/>
      <c r="C51" s="47"/>
      <c r="D51" s="33"/>
      <c r="E51" s="33"/>
      <c r="F51" s="1235"/>
      <c r="G51" s="136"/>
    </row>
    <row r="52" spans="1:7" s="1" customFormat="1" ht="12.75">
      <c r="A52" s="48"/>
      <c r="B52" s="49"/>
      <c r="C52" s="49"/>
      <c r="D52" s="50"/>
      <c r="E52" s="50"/>
      <c r="F52" s="1235"/>
      <c r="G52" s="137"/>
    </row>
    <row r="53" spans="1:7" ht="12.75">
      <c r="A53" s="46"/>
      <c r="B53" s="47"/>
      <c r="C53" s="47"/>
      <c r="D53" s="33"/>
      <c r="E53" s="33"/>
      <c r="F53" s="1235"/>
      <c r="G53" s="136"/>
    </row>
    <row r="54" spans="1:7" ht="12.75">
      <c r="A54" s="46"/>
      <c r="B54" s="47"/>
      <c r="C54" s="47"/>
      <c r="D54" s="33"/>
      <c r="E54" s="33"/>
      <c r="F54" s="1235"/>
      <c r="G54" s="136"/>
    </row>
    <row r="55" spans="1:7" s="1" customFormat="1" ht="12.75">
      <c r="A55" s="48"/>
      <c r="B55" s="49"/>
      <c r="C55" s="49"/>
      <c r="D55" s="50"/>
      <c r="E55" s="50"/>
      <c r="F55" s="1235"/>
      <c r="G55" s="137"/>
    </row>
    <row r="56" spans="1:7" s="1" customFormat="1" ht="12.75">
      <c r="A56" s="48"/>
      <c r="B56" s="49"/>
      <c r="C56" s="49"/>
      <c r="D56" s="50"/>
      <c r="E56" s="50"/>
      <c r="F56" s="1235"/>
      <c r="G56" s="137"/>
    </row>
    <row r="57" spans="1:7" s="1" customFormat="1" ht="12.75">
      <c r="A57" s="48"/>
      <c r="B57" s="49"/>
      <c r="C57" s="49"/>
      <c r="D57" s="50"/>
      <c r="E57" s="50"/>
      <c r="F57" s="1235"/>
      <c r="G57" s="137"/>
    </row>
  </sheetData>
  <mergeCells count="2">
    <mergeCell ref="A1:H1"/>
    <mergeCell ref="A2:H2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CE,Normál"2.számú melléklet
</oddHeader>
    <oddFooter>&amp;L&amp;"Times New Roman CE,Normál"&amp;8&amp;F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2:H128"/>
  <sheetViews>
    <sheetView workbookViewId="0" topLeftCell="A1">
      <selection activeCell="E9" sqref="E9"/>
    </sheetView>
  </sheetViews>
  <sheetFormatPr defaultColWidth="9.140625" defaultRowHeight="12.75"/>
  <cols>
    <col min="1" max="1" width="30.00390625" style="0" customWidth="1"/>
    <col min="2" max="2" width="9.57421875" style="195" customWidth="1"/>
    <col min="3" max="3" width="8.7109375" style="195" customWidth="1"/>
    <col min="4" max="4" width="12.00390625" style="195" bestFit="1" customWidth="1"/>
    <col min="5" max="5" width="29.421875" style="0" customWidth="1"/>
    <col min="6" max="6" width="11.8515625" style="195" customWidth="1"/>
    <col min="7" max="7" width="11.57421875" style="195" customWidth="1"/>
    <col min="8" max="8" width="12.00390625" style="195" bestFit="1" customWidth="1"/>
  </cols>
  <sheetData>
    <row r="2" spans="1:8" ht="15.75">
      <c r="A2" s="26" t="s">
        <v>428</v>
      </c>
      <c r="B2" s="133"/>
      <c r="C2" s="133"/>
      <c r="D2" s="859"/>
      <c r="E2" s="809"/>
      <c r="F2" s="859"/>
      <c r="G2" s="859"/>
      <c r="H2" s="859"/>
    </row>
    <row r="3" spans="1:8" ht="12.75">
      <c r="A3" s="27"/>
      <c r="B3" s="134"/>
      <c r="C3" s="134"/>
      <c r="D3" s="134"/>
      <c r="E3" s="27"/>
      <c r="F3" s="134"/>
      <c r="G3" s="134"/>
      <c r="H3" s="886" t="s">
        <v>128</v>
      </c>
    </row>
    <row r="4" spans="1:8" ht="15" customHeight="1">
      <c r="A4" s="1400" t="s">
        <v>390</v>
      </c>
      <c r="B4" s="1401"/>
      <c r="C4" s="1401"/>
      <c r="D4" s="1402"/>
      <c r="E4" s="1401" t="s">
        <v>459</v>
      </c>
      <c r="F4" s="1401"/>
      <c r="G4" s="1401"/>
      <c r="H4" s="1402"/>
    </row>
    <row r="5" spans="1:8" s="890" customFormat="1" ht="39" customHeight="1">
      <c r="A5" s="887" t="s">
        <v>129</v>
      </c>
      <c r="B5" s="888" t="s">
        <v>875</v>
      </c>
      <c r="C5" s="888" t="s">
        <v>258</v>
      </c>
      <c r="D5" s="889" t="s">
        <v>253</v>
      </c>
      <c r="E5" s="887" t="s">
        <v>129</v>
      </c>
      <c r="F5" s="888" t="s">
        <v>875</v>
      </c>
      <c r="G5" s="888" t="s">
        <v>258</v>
      </c>
      <c r="H5" s="889" t="s">
        <v>253</v>
      </c>
    </row>
    <row r="6" spans="1:8" ht="12.75" customHeight="1">
      <c r="A6" s="188" t="s">
        <v>8</v>
      </c>
      <c r="B6" s="65">
        <v>2008</v>
      </c>
      <c r="C6" s="65">
        <v>1613</v>
      </c>
      <c r="D6" s="65">
        <v>0</v>
      </c>
      <c r="E6" s="188" t="s">
        <v>460</v>
      </c>
      <c r="F6" s="65">
        <v>0</v>
      </c>
      <c r="G6" s="65">
        <v>0</v>
      </c>
      <c r="H6" s="65">
        <v>0</v>
      </c>
    </row>
    <row r="7" spans="1:8" ht="12.75">
      <c r="A7" s="188" t="s">
        <v>9</v>
      </c>
      <c r="B7" s="65">
        <v>714</v>
      </c>
      <c r="C7" s="65">
        <v>640</v>
      </c>
      <c r="D7" s="65">
        <v>640</v>
      </c>
      <c r="E7" s="188" t="s">
        <v>461</v>
      </c>
      <c r="F7" s="65">
        <v>0</v>
      </c>
      <c r="G7" s="65">
        <v>0</v>
      </c>
      <c r="H7" s="65">
        <f>SUM(H8:H10)</f>
        <v>0</v>
      </c>
    </row>
    <row r="8" spans="1:8" ht="12.75">
      <c r="A8" s="188" t="s">
        <v>10</v>
      </c>
      <c r="B8" s="65">
        <v>0</v>
      </c>
      <c r="C8" s="65">
        <v>0</v>
      </c>
      <c r="D8" s="65">
        <v>0</v>
      </c>
      <c r="E8" s="706" t="s">
        <v>502</v>
      </c>
      <c r="F8" s="891">
        <v>0</v>
      </c>
      <c r="G8" s="65">
        <v>0</v>
      </c>
      <c r="H8" s="65">
        <v>0</v>
      </c>
    </row>
    <row r="9" spans="1:8" ht="12.75">
      <c r="A9" s="188" t="s">
        <v>607</v>
      </c>
      <c r="B9" s="65">
        <v>41</v>
      </c>
      <c r="C9" s="65">
        <v>41</v>
      </c>
      <c r="D9" s="65">
        <v>0</v>
      </c>
      <c r="E9" s="188" t="s">
        <v>500</v>
      </c>
      <c r="F9" s="891">
        <v>0</v>
      </c>
      <c r="G9" s="65">
        <v>0</v>
      </c>
      <c r="H9" s="65">
        <v>0</v>
      </c>
    </row>
    <row r="10" spans="1:8" ht="12.75">
      <c r="A10" s="188" t="s">
        <v>11</v>
      </c>
      <c r="B10" s="65">
        <v>1348</v>
      </c>
      <c r="C10" s="65">
        <v>1553</v>
      </c>
      <c r="D10" s="65">
        <v>0</v>
      </c>
      <c r="E10" s="188" t="s">
        <v>501</v>
      </c>
      <c r="F10" s="891">
        <v>0</v>
      </c>
      <c r="G10" s="65">
        <v>0</v>
      </c>
      <c r="H10" s="65">
        <v>0</v>
      </c>
    </row>
    <row r="11" spans="1:8" ht="12.75">
      <c r="A11" s="188" t="s">
        <v>12</v>
      </c>
      <c r="B11" s="65">
        <v>95</v>
      </c>
      <c r="C11" s="65">
        <v>0</v>
      </c>
      <c r="D11" s="65">
        <v>0</v>
      </c>
      <c r="E11" s="188" t="s">
        <v>462</v>
      </c>
      <c r="F11" s="65">
        <v>360</v>
      </c>
      <c r="G11" s="65">
        <v>689</v>
      </c>
      <c r="H11" s="65">
        <v>640</v>
      </c>
    </row>
    <row r="12" spans="1:8" ht="12.75">
      <c r="A12" s="188"/>
      <c r="B12" s="65"/>
      <c r="C12" s="65"/>
      <c r="D12" s="65"/>
      <c r="E12" s="188" t="s">
        <v>13</v>
      </c>
      <c r="F12" s="65">
        <v>2198</v>
      </c>
      <c r="G12" s="65">
        <v>1590</v>
      </c>
      <c r="H12" s="65">
        <v>0</v>
      </c>
    </row>
    <row r="13" spans="1:8" ht="12.75">
      <c r="A13" s="188"/>
      <c r="B13" s="65"/>
      <c r="C13" s="65"/>
      <c r="D13" s="65"/>
      <c r="E13" s="188" t="s">
        <v>203</v>
      </c>
      <c r="F13" s="65">
        <v>95</v>
      </c>
      <c r="G13" s="65">
        <v>0</v>
      </c>
      <c r="H13" s="65">
        <v>0</v>
      </c>
    </row>
    <row r="14" spans="1:8" ht="12.75">
      <c r="A14" s="188"/>
      <c r="B14" s="65"/>
      <c r="C14" s="65"/>
      <c r="D14" s="65"/>
      <c r="E14" s="188" t="s">
        <v>11</v>
      </c>
      <c r="F14" s="65">
        <v>1553</v>
      </c>
      <c r="G14" s="65">
        <v>1568</v>
      </c>
      <c r="H14" s="65">
        <v>0</v>
      </c>
    </row>
    <row r="15" spans="1:8" ht="15" customHeight="1">
      <c r="A15" s="892" t="s">
        <v>14</v>
      </c>
      <c r="B15" s="893">
        <f>SUM(B6:B14)</f>
        <v>4206</v>
      </c>
      <c r="C15" s="893">
        <f>SUM(C6:C14)</f>
        <v>3847</v>
      </c>
      <c r="D15" s="893">
        <f>SUM(D6:D14)</f>
        <v>640</v>
      </c>
      <c r="E15" s="892" t="s">
        <v>756</v>
      </c>
      <c r="F15" s="893">
        <f>SUM(F6:F7,F11:F13,F14)</f>
        <v>4206</v>
      </c>
      <c r="G15" s="893">
        <f>SUM(G6:G7,G11:G13,G14)</f>
        <v>3847</v>
      </c>
      <c r="H15" s="893">
        <f>SUM(H6:H7,H11:H13,H14)</f>
        <v>640</v>
      </c>
    </row>
    <row r="17" spans="1:8" ht="15.75">
      <c r="A17" s="26" t="s">
        <v>429</v>
      </c>
      <c r="B17" s="133"/>
      <c r="C17" s="133"/>
      <c r="D17" s="859"/>
      <c r="E17" s="809"/>
      <c r="F17" s="859"/>
      <c r="G17" s="859"/>
      <c r="H17" s="859"/>
    </row>
    <row r="18" spans="1:8" ht="12.75">
      <c r="A18" s="27"/>
      <c r="B18" s="134"/>
      <c r="C18" s="134"/>
      <c r="D18" s="134"/>
      <c r="E18" s="27"/>
      <c r="F18" s="134"/>
      <c r="G18" s="134"/>
      <c r="H18" s="886" t="s">
        <v>128</v>
      </c>
    </row>
    <row r="19" spans="1:8" ht="15" customHeight="1">
      <c r="A19" s="1400" t="s">
        <v>390</v>
      </c>
      <c r="B19" s="1401"/>
      <c r="C19" s="1401"/>
      <c r="D19" s="1402"/>
      <c r="E19" s="1401" t="s">
        <v>459</v>
      </c>
      <c r="F19" s="1401"/>
      <c r="G19" s="1401"/>
      <c r="H19" s="1402"/>
    </row>
    <row r="20" spans="1:8" s="61" customFormat="1" ht="39" customHeight="1">
      <c r="A20" s="887" t="s">
        <v>129</v>
      </c>
      <c r="B20" s="888" t="s">
        <v>875</v>
      </c>
      <c r="C20" s="888" t="s">
        <v>258</v>
      </c>
      <c r="D20" s="889" t="s">
        <v>253</v>
      </c>
      <c r="E20" s="887" t="s">
        <v>129</v>
      </c>
      <c r="F20" s="888" t="s">
        <v>875</v>
      </c>
      <c r="G20" s="888" t="s">
        <v>258</v>
      </c>
      <c r="H20" s="889" t="s">
        <v>253</v>
      </c>
    </row>
    <row r="21" spans="1:8" ht="12.75">
      <c r="A21" s="188" t="s">
        <v>8</v>
      </c>
      <c r="B21" s="65">
        <v>1003</v>
      </c>
      <c r="C21" s="65">
        <v>2003</v>
      </c>
      <c r="D21" s="65">
        <v>0</v>
      </c>
      <c r="E21" s="188" t="s">
        <v>460</v>
      </c>
      <c r="F21" s="65">
        <v>6117</v>
      </c>
      <c r="G21" s="65">
        <v>4567</v>
      </c>
      <c r="H21" s="65">
        <v>472</v>
      </c>
    </row>
    <row r="22" spans="1:8" ht="12.75">
      <c r="A22" s="188" t="s">
        <v>9</v>
      </c>
      <c r="B22" s="65">
        <v>714</v>
      </c>
      <c r="C22" s="65">
        <v>640</v>
      </c>
      <c r="D22" s="65">
        <v>640</v>
      </c>
      <c r="E22" s="188" t="s">
        <v>461</v>
      </c>
      <c r="F22" s="65">
        <f>SUM(F23:F25)</f>
        <v>2313</v>
      </c>
      <c r="G22" s="65">
        <f>SUM(G23:G25)</f>
        <v>1603</v>
      </c>
      <c r="H22" s="65">
        <f>SUM(H23:H25)</f>
        <v>168</v>
      </c>
    </row>
    <row r="23" spans="1:8" ht="12.75">
      <c r="A23" s="188" t="s">
        <v>10</v>
      </c>
      <c r="B23" s="65">
        <v>6878</v>
      </c>
      <c r="C23" s="65">
        <v>4936</v>
      </c>
      <c r="D23" s="65">
        <v>0</v>
      </c>
      <c r="E23" s="188" t="s">
        <v>502</v>
      </c>
      <c r="F23" s="891">
        <v>1774</v>
      </c>
      <c r="G23" s="65">
        <v>1324</v>
      </c>
      <c r="H23" s="65">
        <v>137</v>
      </c>
    </row>
    <row r="24" spans="1:8" ht="12.75">
      <c r="A24" s="188" t="s">
        <v>607</v>
      </c>
      <c r="B24" s="65">
        <v>38</v>
      </c>
      <c r="C24" s="65">
        <v>27</v>
      </c>
      <c r="D24" s="65">
        <v>0</v>
      </c>
      <c r="E24" s="188" t="s">
        <v>500</v>
      </c>
      <c r="F24" s="891">
        <v>183</v>
      </c>
      <c r="G24" s="65">
        <v>137</v>
      </c>
      <c r="H24" s="65">
        <v>14</v>
      </c>
    </row>
    <row r="25" spans="1:8" ht="12.75">
      <c r="A25" s="188" t="s">
        <v>11</v>
      </c>
      <c r="B25" s="65">
        <v>1937</v>
      </c>
      <c r="C25" s="65">
        <v>601</v>
      </c>
      <c r="D25" s="65">
        <v>0</v>
      </c>
      <c r="E25" s="188" t="s">
        <v>501</v>
      </c>
      <c r="F25" s="891">
        <v>356</v>
      </c>
      <c r="G25" s="65">
        <v>142</v>
      </c>
      <c r="H25" s="65">
        <v>17</v>
      </c>
    </row>
    <row r="26" spans="1:8" ht="12.75">
      <c r="A26" s="188"/>
      <c r="B26" s="65"/>
      <c r="C26" s="65"/>
      <c r="D26" s="65"/>
      <c r="E26" s="188" t="s">
        <v>462</v>
      </c>
      <c r="F26" s="65">
        <v>664</v>
      </c>
      <c r="G26" s="65">
        <v>1520</v>
      </c>
      <c r="H26" s="65">
        <v>0</v>
      </c>
    </row>
    <row r="27" spans="1:8" ht="12.75">
      <c r="A27" s="188"/>
      <c r="B27" s="65"/>
      <c r="C27" s="65"/>
      <c r="D27" s="65"/>
      <c r="E27" s="188" t="s">
        <v>15</v>
      </c>
      <c r="F27" s="65">
        <v>875</v>
      </c>
      <c r="G27" s="65">
        <v>0</v>
      </c>
      <c r="H27" s="65">
        <v>0</v>
      </c>
    </row>
    <row r="28" spans="1:8" ht="12.75">
      <c r="A28" s="188"/>
      <c r="B28" s="65"/>
      <c r="C28" s="65"/>
      <c r="D28" s="65"/>
      <c r="E28" s="188" t="s">
        <v>203</v>
      </c>
      <c r="F28" s="65">
        <v>0</v>
      </c>
      <c r="G28" s="65">
        <v>0</v>
      </c>
      <c r="H28" s="65">
        <v>0</v>
      </c>
    </row>
    <row r="29" spans="1:8" ht="12.75">
      <c r="A29" s="188"/>
      <c r="B29" s="65"/>
      <c r="C29" s="65"/>
      <c r="D29" s="65"/>
      <c r="E29" s="188" t="s">
        <v>11</v>
      </c>
      <c r="F29" s="65">
        <v>601</v>
      </c>
      <c r="G29" s="65">
        <v>517</v>
      </c>
      <c r="H29" s="65">
        <v>0</v>
      </c>
    </row>
    <row r="30" spans="1:8" ht="15" customHeight="1">
      <c r="A30" s="892" t="s">
        <v>14</v>
      </c>
      <c r="B30" s="893">
        <f>SUM(B21:B29)</f>
        <v>10570</v>
      </c>
      <c r="C30" s="893">
        <f>SUM(C21:C29)</f>
        <v>8207</v>
      </c>
      <c r="D30" s="893">
        <f>SUM(D21:D29)</f>
        <v>640</v>
      </c>
      <c r="E30" s="892" t="s">
        <v>756</v>
      </c>
      <c r="F30" s="893">
        <f>SUM(F21:F22,F26:F27,F28,F29)</f>
        <v>10570</v>
      </c>
      <c r="G30" s="893">
        <f>SUM(G21:G22,G26:G27,G28,G29)</f>
        <v>8207</v>
      </c>
      <c r="H30" s="893">
        <f>SUM(H21:H22,H26:H27,H28,H29)</f>
        <v>640</v>
      </c>
    </row>
    <row r="31" spans="1:8" ht="15" customHeight="1">
      <c r="A31" s="894"/>
      <c r="B31" s="895"/>
      <c r="C31" s="895"/>
      <c r="D31" s="895"/>
      <c r="E31" s="894"/>
      <c r="F31" s="895"/>
      <c r="G31" s="895"/>
      <c r="H31" s="895"/>
    </row>
    <row r="32" spans="1:8" ht="12.75" customHeight="1">
      <c r="A32" s="894"/>
      <c r="B32" s="895"/>
      <c r="C32" s="895"/>
      <c r="D32" s="895"/>
      <c r="E32" s="894"/>
      <c r="F32" s="895"/>
      <c r="G32" s="895"/>
      <c r="H32" s="895"/>
    </row>
    <row r="33" spans="1:8" ht="12.75" customHeight="1">
      <c r="A33" s="894"/>
      <c r="B33" s="895"/>
      <c r="C33" s="895"/>
      <c r="D33" s="895"/>
      <c r="E33" s="894"/>
      <c r="F33" s="895"/>
      <c r="G33" s="895"/>
      <c r="H33" s="895"/>
    </row>
    <row r="34" spans="1:8" ht="19.5" customHeight="1">
      <c r="A34" s="26" t="s">
        <v>430</v>
      </c>
      <c r="B34" s="133"/>
      <c r="C34" s="133"/>
      <c r="D34" s="859"/>
      <c r="E34" s="809"/>
      <c r="F34" s="859"/>
      <c r="G34" s="859"/>
      <c r="H34" s="859"/>
    </row>
    <row r="35" spans="1:8" ht="12.75">
      <c r="A35" s="27"/>
      <c r="B35" s="134"/>
      <c r="C35" s="134"/>
      <c r="D35" s="134"/>
      <c r="E35" s="27"/>
      <c r="F35" s="134"/>
      <c r="G35" s="134"/>
      <c r="H35" s="886" t="s">
        <v>128</v>
      </c>
    </row>
    <row r="36" spans="1:8" ht="15" customHeight="1">
      <c r="A36" s="1400" t="s">
        <v>390</v>
      </c>
      <c r="B36" s="1401"/>
      <c r="C36" s="1401"/>
      <c r="D36" s="1402"/>
      <c r="E36" s="1401" t="s">
        <v>459</v>
      </c>
      <c r="F36" s="1401"/>
      <c r="G36" s="1401"/>
      <c r="H36" s="1402"/>
    </row>
    <row r="37" spans="1:8" s="61" customFormat="1" ht="39" customHeight="1">
      <c r="A37" s="887" t="s">
        <v>129</v>
      </c>
      <c r="B37" s="888" t="s">
        <v>875</v>
      </c>
      <c r="C37" s="888" t="s">
        <v>258</v>
      </c>
      <c r="D37" s="889" t="s">
        <v>253</v>
      </c>
      <c r="E37" s="887" t="s">
        <v>129</v>
      </c>
      <c r="F37" s="888" t="s">
        <v>875</v>
      </c>
      <c r="G37" s="888" t="s">
        <v>258</v>
      </c>
      <c r="H37" s="889" t="s">
        <v>253</v>
      </c>
    </row>
    <row r="38" spans="1:8" ht="12.75" customHeight="1">
      <c r="A38" s="188" t="s">
        <v>8</v>
      </c>
      <c r="B38" s="65">
        <v>2839</v>
      </c>
      <c r="C38" s="65">
        <v>2303</v>
      </c>
      <c r="D38" s="65">
        <v>0</v>
      </c>
      <c r="E38" s="188" t="s">
        <v>460</v>
      </c>
      <c r="F38" s="65">
        <v>0</v>
      </c>
      <c r="G38" s="65">
        <v>0</v>
      </c>
      <c r="H38" s="65">
        <v>0</v>
      </c>
    </row>
    <row r="39" spans="1:8" ht="12.75" customHeight="1">
      <c r="A39" s="188" t="s">
        <v>9</v>
      </c>
      <c r="B39" s="65">
        <v>714</v>
      </c>
      <c r="C39" s="65">
        <v>640</v>
      </c>
      <c r="D39" s="65">
        <v>640</v>
      </c>
      <c r="E39" s="188" t="s">
        <v>461</v>
      </c>
      <c r="F39" s="65">
        <v>0</v>
      </c>
      <c r="G39" s="65">
        <v>0</v>
      </c>
      <c r="H39" s="65">
        <v>0</v>
      </c>
    </row>
    <row r="40" spans="1:8" ht="12.75" customHeight="1">
      <c r="A40" s="188" t="s">
        <v>10</v>
      </c>
      <c r="B40" s="65">
        <v>0</v>
      </c>
      <c r="C40" s="65">
        <v>0</v>
      </c>
      <c r="D40" s="65">
        <v>0</v>
      </c>
      <c r="E40" s="188" t="s">
        <v>502</v>
      </c>
      <c r="F40" s="891">
        <v>0</v>
      </c>
      <c r="G40" s="65">
        <v>0</v>
      </c>
      <c r="H40" s="65">
        <v>0</v>
      </c>
    </row>
    <row r="41" spans="1:8" ht="12.75" customHeight="1">
      <c r="A41" s="188" t="s">
        <v>607</v>
      </c>
      <c r="B41" s="65">
        <v>21</v>
      </c>
      <c r="C41" s="65">
        <v>24</v>
      </c>
      <c r="D41" s="65">
        <v>0</v>
      </c>
      <c r="E41" s="706" t="s">
        <v>500</v>
      </c>
      <c r="F41" s="891">
        <v>0</v>
      </c>
      <c r="G41" s="65">
        <v>0</v>
      </c>
      <c r="H41" s="65">
        <v>0</v>
      </c>
    </row>
    <row r="42" spans="1:8" ht="12.75" customHeight="1">
      <c r="A42" s="188" t="s">
        <v>11</v>
      </c>
      <c r="B42" s="65">
        <v>255</v>
      </c>
      <c r="C42" s="65">
        <v>422</v>
      </c>
      <c r="D42" s="65">
        <v>0</v>
      </c>
      <c r="E42" s="188" t="s">
        <v>501</v>
      </c>
      <c r="F42" s="891">
        <v>0</v>
      </c>
      <c r="G42" s="65">
        <v>0</v>
      </c>
      <c r="H42" s="65">
        <v>0</v>
      </c>
    </row>
    <row r="43" spans="1:8" ht="12.75" customHeight="1">
      <c r="A43" s="188"/>
      <c r="B43" s="65"/>
      <c r="C43" s="65"/>
      <c r="D43" s="65"/>
      <c r="E43" s="188" t="s">
        <v>462</v>
      </c>
      <c r="F43" s="65">
        <v>3407</v>
      </c>
      <c r="G43" s="65">
        <v>3000</v>
      </c>
      <c r="H43" s="65">
        <v>640</v>
      </c>
    </row>
    <row r="44" spans="1:8" ht="12.75" customHeight="1">
      <c r="A44" s="188"/>
      <c r="B44" s="65"/>
      <c r="C44" s="65"/>
      <c r="D44" s="65"/>
      <c r="E44" s="188" t="s">
        <v>15</v>
      </c>
      <c r="F44" s="65">
        <v>0</v>
      </c>
      <c r="G44" s="65"/>
      <c r="H44" s="65">
        <v>0</v>
      </c>
    </row>
    <row r="45" spans="1:8" ht="12.75" customHeight="1">
      <c r="A45" s="188"/>
      <c r="B45" s="65"/>
      <c r="C45" s="65"/>
      <c r="D45" s="65"/>
      <c r="E45" s="188" t="s">
        <v>203</v>
      </c>
      <c r="F45" s="65">
        <v>0</v>
      </c>
      <c r="G45" s="65">
        <v>0</v>
      </c>
      <c r="H45" s="65">
        <v>0</v>
      </c>
    </row>
    <row r="46" spans="1:8" ht="12.75" customHeight="1">
      <c r="A46" s="188"/>
      <c r="B46" s="65"/>
      <c r="C46" s="65"/>
      <c r="D46" s="65"/>
      <c r="E46" s="188" t="s">
        <v>11</v>
      </c>
      <c r="F46" s="65">
        <v>422</v>
      </c>
      <c r="G46" s="65">
        <v>389</v>
      </c>
      <c r="H46" s="65">
        <v>0</v>
      </c>
    </row>
    <row r="47" spans="1:8" ht="15" customHeight="1">
      <c r="A47" s="892" t="s">
        <v>14</v>
      </c>
      <c r="B47" s="893">
        <f>SUM(B38:B46)</f>
        <v>3829</v>
      </c>
      <c r="C47" s="893">
        <f>SUM(C38:C46)</f>
        <v>3389</v>
      </c>
      <c r="D47" s="893">
        <f>SUM(D38:D46)</f>
        <v>640</v>
      </c>
      <c r="E47" s="892" t="s">
        <v>756</v>
      </c>
      <c r="F47" s="893">
        <f>SUM(F38,F39,F43:F43,F44,F45,F46)</f>
        <v>3829</v>
      </c>
      <c r="G47" s="893">
        <f>SUM(G38,G39,G43:G43,G44,G45,G46)</f>
        <v>3389</v>
      </c>
      <c r="H47" s="893">
        <f>SUM(H38,H39,H43:H43,H44,H45,H46)</f>
        <v>640</v>
      </c>
    </row>
    <row r="48" spans="1:8" ht="12.75">
      <c r="A48" s="27"/>
      <c r="B48" s="134"/>
      <c r="C48" s="134"/>
      <c r="D48" s="134"/>
      <c r="E48" s="27"/>
      <c r="F48" s="134"/>
      <c r="G48" s="134"/>
      <c r="H48" s="134"/>
    </row>
    <row r="49" spans="1:8" ht="19.5" customHeight="1">
      <c r="A49" s="26" t="s">
        <v>431</v>
      </c>
      <c r="B49" s="133"/>
      <c r="C49" s="133"/>
      <c r="D49" s="859"/>
      <c r="E49" s="809"/>
      <c r="F49" s="859"/>
      <c r="G49" s="859"/>
      <c r="H49" s="859"/>
    </row>
    <row r="50" spans="1:8" ht="12.75">
      <c r="A50" s="27"/>
      <c r="B50" s="134"/>
      <c r="C50" s="134"/>
      <c r="D50" s="134"/>
      <c r="E50" s="27"/>
      <c r="F50" s="134"/>
      <c r="G50" s="134"/>
      <c r="H50" s="886" t="s">
        <v>128</v>
      </c>
    </row>
    <row r="51" spans="1:8" ht="15" customHeight="1">
      <c r="A51" s="1400" t="s">
        <v>390</v>
      </c>
      <c r="B51" s="1401"/>
      <c r="C51" s="1401"/>
      <c r="D51" s="1402"/>
      <c r="E51" s="1401" t="s">
        <v>459</v>
      </c>
      <c r="F51" s="1401"/>
      <c r="G51" s="1401"/>
      <c r="H51" s="1402"/>
    </row>
    <row r="52" spans="1:8" s="61" customFormat="1" ht="39" customHeight="1">
      <c r="A52" s="887" t="s">
        <v>129</v>
      </c>
      <c r="B52" s="888" t="s">
        <v>875</v>
      </c>
      <c r="C52" s="888" t="s">
        <v>258</v>
      </c>
      <c r="D52" s="889" t="s">
        <v>253</v>
      </c>
      <c r="E52" s="887" t="s">
        <v>129</v>
      </c>
      <c r="F52" s="888" t="s">
        <v>875</v>
      </c>
      <c r="G52" s="888" t="s">
        <v>258</v>
      </c>
      <c r="H52" s="889" t="s">
        <v>253</v>
      </c>
    </row>
    <row r="53" spans="1:8" ht="12.75">
      <c r="A53" s="188" t="s">
        <v>8</v>
      </c>
      <c r="B53" s="65">
        <v>2153</v>
      </c>
      <c r="C53" s="65">
        <v>2203</v>
      </c>
      <c r="D53" s="65">
        <v>0</v>
      </c>
      <c r="E53" s="188" t="s">
        <v>460</v>
      </c>
      <c r="F53" s="65">
        <v>366</v>
      </c>
      <c r="G53" s="65">
        <v>0</v>
      </c>
      <c r="H53" s="65">
        <v>0</v>
      </c>
    </row>
    <row r="54" spans="1:8" ht="12.75">
      <c r="A54" s="188" t="s">
        <v>9</v>
      </c>
      <c r="B54" s="65">
        <v>714</v>
      </c>
      <c r="C54" s="65">
        <v>640</v>
      </c>
      <c r="D54" s="65">
        <v>640</v>
      </c>
      <c r="E54" s="188" t="s">
        <v>461</v>
      </c>
      <c r="F54" s="65">
        <v>0</v>
      </c>
      <c r="G54" s="65">
        <v>0</v>
      </c>
      <c r="H54" s="65">
        <v>0</v>
      </c>
    </row>
    <row r="55" spans="1:8" ht="12.75">
      <c r="A55" s="188" t="s">
        <v>10</v>
      </c>
      <c r="B55" s="65">
        <v>0</v>
      </c>
      <c r="C55" s="65">
        <v>0</v>
      </c>
      <c r="D55" s="65">
        <v>0</v>
      </c>
      <c r="E55" s="188" t="s">
        <v>502</v>
      </c>
      <c r="F55" s="891">
        <v>0</v>
      </c>
      <c r="G55" s="65">
        <v>0</v>
      </c>
      <c r="H55" s="65">
        <v>0</v>
      </c>
    </row>
    <row r="56" spans="1:8" ht="12.75">
      <c r="A56" s="188" t="s">
        <v>607</v>
      </c>
      <c r="B56" s="65">
        <v>18</v>
      </c>
      <c r="C56" s="65">
        <v>13</v>
      </c>
      <c r="D56" s="65">
        <v>0</v>
      </c>
      <c r="E56" s="188" t="s">
        <v>500</v>
      </c>
      <c r="F56" s="891">
        <v>0</v>
      </c>
      <c r="G56" s="65">
        <v>0</v>
      </c>
      <c r="H56" s="65">
        <v>0</v>
      </c>
    </row>
    <row r="57" spans="1:8" ht="12.75">
      <c r="A57" s="188" t="s">
        <v>11</v>
      </c>
      <c r="B57" s="65">
        <v>437</v>
      </c>
      <c r="C57" s="65">
        <v>220</v>
      </c>
      <c r="D57" s="65">
        <v>0</v>
      </c>
      <c r="E57" s="706" t="s">
        <v>501</v>
      </c>
      <c r="F57" s="891">
        <v>0</v>
      </c>
      <c r="G57" s="65">
        <v>0</v>
      </c>
      <c r="H57" s="65">
        <v>0</v>
      </c>
    </row>
    <row r="58" spans="1:8" ht="12.75">
      <c r="A58" s="188" t="s">
        <v>503</v>
      </c>
      <c r="B58" s="65"/>
      <c r="C58" s="65">
        <v>0</v>
      </c>
      <c r="D58" s="65">
        <v>0</v>
      </c>
      <c r="E58" s="188" t="s">
        <v>462</v>
      </c>
      <c r="F58" s="65">
        <v>2736</v>
      </c>
      <c r="G58" s="65">
        <v>2768</v>
      </c>
      <c r="H58" s="65">
        <v>640</v>
      </c>
    </row>
    <row r="59" spans="1:8" ht="12.75">
      <c r="A59" s="188"/>
      <c r="B59" s="65"/>
      <c r="C59" s="65"/>
      <c r="D59" s="65"/>
      <c r="E59" s="188" t="s">
        <v>16</v>
      </c>
      <c r="F59" s="65">
        <v>0</v>
      </c>
      <c r="G59" s="65">
        <v>0</v>
      </c>
      <c r="H59" s="65">
        <v>0</v>
      </c>
    </row>
    <row r="60" spans="1:8" ht="12.75">
      <c r="A60" s="188"/>
      <c r="B60" s="65"/>
      <c r="C60" s="65"/>
      <c r="D60" s="65"/>
      <c r="E60" s="188" t="s">
        <v>203</v>
      </c>
      <c r="F60" s="65">
        <v>0</v>
      </c>
      <c r="G60" s="65">
        <v>0</v>
      </c>
      <c r="H60" s="65">
        <v>0</v>
      </c>
    </row>
    <row r="61" spans="1:8" ht="12.75">
      <c r="A61" s="188"/>
      <c r="B61" s="65"/>
      <c r="C61" s="65"/>
      <c r="D61" s="65"/>
      <c r="E61" s="188" t="s">
        <v>11</v>
      </c>
      <c r="F61" s="65">
        <v>220</v>
      </c>
      <c r="G61" s="65">
        <v>308</v>
      </c>
      <c r="H61" s="65">
        <v>0</v>
      </c>
    </row>
    <row r="62" spans="1:8" ht="15" customHeight="1">
      <c r="A62" s="892" t="s">
        <v>14</v>
      </c>
      <c r="B62" s="893">
        <f>SUM(B53:B61)</f>
        <v>3322</v>
      </c>
      <c r="C62" s="893">
        <f>SUM(C53:C61)</f>
        <v>3076</v>
      </c>
      <c r="D62" s="893">
        <f>SUM(D53:D61)</f>
        <v>640</v>
      </c>
      <c r="E62" s="892" t="s">
        <v>756</v>
      </c>
      <c r="F62" s="893">
        <f>SUM(F53:F54,F58:F58,F59,F60,F61)</f>
        <v>3322</v>
      </c>
      <c r="G62" s="893">
        <f>SUM(G53:G54,G58:G58,G59,G60,G61)</f>
        <v>3076</v>
      </c>
      <c r="H62" s="893">
        <f>SUM(H53:H54,H58:H58,H59,H60,H61)</f>
        <v>640</v>
      </c>
    </row>
    <row r="63" spans="1:8" ht="12.75">
      <c r="A63" s="27"/>
      <c r="B63" s="134"/>
      <c r="C63" s="134"/>
      <c r="D63" s="134"/>
      <c r="E63" s="27"/>
      <c r="F63" s="134"/>
      <c r="G63" s="134"/>
      <c r="H63" s="134"/>
    </row>
    <row r="64" spans="1:8" ht="12.75">
      <c r="A64" s="27"/>
      <c r="B64" s="134"/>
      <c r="C64" s="134"/>
      <c r="D64" s="134"/>
      <c r="E64" s="27"/>
      <c r="F64" s="134"/>
      <c r="G64" s="134"/>
      <c r="H64" s="134"/>
    </row>
    <row r="65" spans="1:8" ht="12.75">
      <c r="A65" s="27"/>
      <c r="B65" s="134"/>
      <c r="C65" s="134"/>
      <c r="D65" s="134"/>
      <c r="E65" s="27"/>
      <c r="F65" s="134"/>
      <c r="G65" s="134"/>
      <c r="H65" s="134"/>
    </row>
    <row r="66" spans="1:8" ht="12.75">
      <c r="A66" s="27"/>
      <c r="B66" s="134"/>
      <c r="C66" s="134"/>
      <c r="D66" s="134"/>
      <c r="E66" s="27"/>
      <c r="F66" s="134"/>
      <c r="G66" s="134"/>
      <c r="H66" s="134"/>
    </row>
    <row r="67" spans="1:8" ht="15.75">
      <c r="A67" s="26" t="s">
        <v>432</v>
      </c>
      <c r="B67" s="133"/>
      <c r="C67" s="133"/>
      <c r="D67" s="859"/>
      <c r="E67" s="809"/>
      <c r="F67" s="859"/>
      <c r="G67" s="859"/>
      <c r="H67" s="859"/>
    </row>
    <row r="68" spans="1:8" ht="12.75">
      <c r="A68" s="27"/>
      <c r="B68" s="134"/>
      <c r="C68" s="134"/>
      <c r="D68" s="134"/>
      <c r="E68" s="27"/>
      <c r="F68" s="134"/>
      <c r="G68" s="134"/>
      <c r="H68" s="886" t="s">
        <v>128</v>
      </c>
    </row>
    <row r="69" spans="1:8" ht="15.75">
      <c r="A69" s="1400" t="s">
        <v>390</v>
      </c>
      <c r="B69" s="1401"/>
      <c r="C69" s="1401"/>
      <c r="D69" s="1402"/>
      <c r="E69" s="1401" t="s">
        <v>459</v>
      </c>
      <c r="F69" s="1401"/>
      <c r="G69" s="1401"/>
      <c r="H69" s="1402"/>
    </row>
    <row r="70" spans="1:8" ht="39" customHeight="1">
      <c r="A70" s="887" t="s">
        <v>129</v>
      </c>
      <c r="B70" s="888" t="s">
        <v>875</v>
      </c>
      <c r="C70" s="888" t="s">
        <v>258</v>
      </c>
      <c r="D70" s="889" t="s">
        <v>253</v>
      </c>
      <c r="E70" s="887" t="s">
        <v>129</v>
      </c>
      <c r="F70" s="888" t="s">
        <v>875</v>
      </c>
      <c r="G70" s="888" t="s">
        <v>258</v>
      </c>
      <c r="H70" s="889" t="s">
        <v>253</v>
      </c>
    </row>
    <row r="71" spans="1:8" ht="12.75">
      <c r="A71" s="188" t="s">
        <v>8</v>
      </c>
      <c r="B71" s="65">
        <v>1753</v>
      </c>
      <c r="C71" s="65">
        <v>1703</v>
      </c>
      <c r="D71" s="65">
        <v>0</v>
      </c>
      <c r="E71" s="188" t="s">
        <v>460</v>
      </c>
      <c r="F71" s="65">
        <v>365</v>
      </c>
      <c r="G71" s="65">
        <v>344</v>
      </c>
      <c r="H71" s="65">
        <v>0</v>
      </c>
    </row>
    <row r="72" spans="1:8" ht="12.75">
      <c r="A72" s="188" t="s">
        <v>9</v>
      </c>
      <c r="B72" s="65">
        <v>714</v>
      </c>
      <c r="C72" s="65">
        <v>640</v>
      </c>
      <c r="D72" s="65">
        <v>640</v>
      </c>
      <c r="E72" s="188" t="s">
        <v>461</v>
      </c>
      <c r="F72" s="65">
        <v>0</v>
      </c>
      <c r="G72" s="65">
        <v>0</v>
      </c>
      <c r="H72" s="65">
        <v>0</v>
      </c>
    </row>
    <row r="73" spans="1:8" ht="12.75">
      <c r="A73" s="188" t="s">
        <v>10</v>
      </c>
      <c r="B73" s="65">
        <v>0</v>
      </c>
      <c r="C73" s="65">
        <v>0</v>
      </c>
      <c r="D73" s="65">
        <v>0</v>
      </c>
      <c r="E73" s="188" t="s">
        <v>502</v>
      </c>
      <c r="F73" s="891">
        <v>0</v>
      </c>
      <c r="G73" s="65">
        <v>0</v>
      </c>
      <c r="H73" s="65">
        <v>0</v>
      </c>
    </row>
    <row r="74" spans="1:8" ht="12.75">
      <c r="A74" s="188" t="s">
        <v>607</v>
      </c>
      <c r="B74" s="65">
        <v>75</v>
      </c>
      <c r="C74" s="65">
        <v>94</v>
      </c>
      <c r="D74" s="65">
        <v>0</v>
      </c>
      <c r="E74" s="188" t="s">
        <v>500</v>
      </c>
      <c r="F74" s="891">
        <v>0</v>
      </c>
      <c r="G74" s="65">
        <v>0</v>
      </c>
      <c r="H74" s="65">
        <v>0</v>
      </c>
    </row>
    <row r="75" spans="1:8" ht="12.75">
      <c r="A75" s="188" t="s">
        <v>11</v>
      </c>
      <c r="B75" s="65">
        <v>2493</v>
      </c>
      <c r="C75" s="65">
        <v>3332</v>
      </c>
      <c r="D75" s="65">
        <v>0</v>
      </c>
      <c r="E75" s="188" t="s">
        <v>501</v>
      </c>
      <c r="F75" s="891">
        <v>0</v>
      </c>
      <c r="G75" s="65">
        <v>0</v>
      </c>
      <c r="H75" s="65">
        <v>0</v>
      </c>
    </row>
    <row r="76" spans="1:8" ht="12.75">
      <c r="A76" s="188"/>
      <c r="B76" s="65"/>
      <c r="C76" s="65"/>
      <c r="D76" s="65"/>
      <c r="E76" s="188" t="s">
        <v>462</v>
      </c>
      <c r="F76" s="65">
        <v>1325</v>
      </c>
      <c r="G76" s="65">
        <v>1716</v>
      </c>
      <c r="H76" s="65">
        <v>640</v>
      </c>
    </row>
    <row r="77" spans="1:8" ht="12.75">
      <c r="A77" s="188"/>
      <c r="B77" s="65"/>
      <c r="C77" s="65"/>
      <c r="D77" s="65"/>
      <c r="E77" s="188" t="s">
        <v>13</v>
      </c>
      <c r="F77" s="65">
        <v>13</v>
      </c>
      <c r="G77" s="65">
        <v>0</v>
      </c>
      <c r="H77" s="65">
        <v>0</v>
      </c>
    </row>
    <row r="78" spans="1:8" ht="12.75">
      <c r="A78" s="188"/>
      <c r="B78" s="65"/>
      <c r="C78" s="65"/>
      <c r="D78" s="65"/>
      <c r="E78" s="188" t="s">
        <v>203</v>
      </c>
      <c r="F78" s="65">
        <v>0</v>
      </c>
      <c r="G78" s="65">
        <v>0</v>
      </c>
      <c r="H78" s="65">
        <v>0</v>
      </c>
    </row>
    <row r="79" spans="1:8" ht="12.75">
      <c r="A79" s="188"/>
      <c r="B79" s="65"/>
      <c r="C79" s="65"/>
      <c r="D79" s="65"/>
      <c r="E79" s="188" t="s">
        <v>11</v>
      </c>
      <c r="F79" s="65">
        <v>3332</v>
      </c>
      <c r="G79" s="65">
        <v>3709</v>
      </c>
      <c r="H79" s="65">
        <v>0</v>
      </c>
    </row>
    <row r="80" spans="1:8" ht="15.75">
      <c r="A80" s="892" t="s">
        <v>14</v>
      </c>
      <c r="B80" s="893">
        <f>SUM(B71:B79)</f>
        <v>5035</v>
      </c>
      <c r="C80" s="893">
        <f>SUM(C71:C79)</f>
        <v>5769</v>
      </c>
      <c r="D80" s="893">
        <f>SUM(D71:D79)</f>
        <v>640</v>
      </c>
      <c r="E80" s="892" t="s">
        <v>756</v>
      </c>
      <c r="F80" s="893">
        <f>SUM(F71:F72,F76:F79)</f>
        <v>5035</v>
      </c>
      <c r="G80" s="893">
        <f>SUM(G71:G72,G76:G79)</f>
        <v>5769</v>
      </c>
      <c r="H80" s="893">
        <f>SUM(H71:H72,H76:H79)</f>
        <v>640</v>
      </c>
    </row>
    <row r="81" spans="1:8" ht="15.75">
      <c r="A81" s="894"/>
      <c r="B81" s="895"/>
      <c r="C81" s="895"/>
      <c r="D81" s="895"/>
      <c r="E81" s="894"/>
      <c r="F81" s="895"/>
      <c r="G81" s="895"/>
      <c r="H81" s="895"/>
    </row>
    <row r="82" spans="1:8" ht="15.75">
      <c r="A82" s="26" t="s">
        <v>433</v>
      </c>
      <c r="B82" s="133"/>
      <c r="C82" s="133"/>
      <c r="D82" s="859"/>
      <c r="E82" s="809"/>
      <c r="F82" s="859"/>
      <c r="G82" s="859"/>
      <c r="H82" s="859"/>
    </row>
    <row r="83" spans="1:8" ht="12.75">
      <c r="A83" s="27"/>
      <c r="B83" s="134"/>
      <c r="C83" s="134"/>
      <c r="D83" s="134"/>
      <c r="E83" s="27"/>
      <c r="F83" s="134"/>
      <c r="G83" s="134"/>
      <c r="H83" s="886" t="s">
        <v>128</v>
      </c>
    </row>
    <row r="84" spans="1:8" ht="15.75">
      <c r="A84" s="1400" t="s">
        <v>390</v>
      </c>
      <c r="B84" s="1401"/>
      <c r="C84" s="1401"/>
      <c r="D84" s="1402"/>
      <c r="E84" s="1401" t="s">
        <v>459</v>
      </c>
      <c r="F84" s="1401"/>
      <c r="G84" s="1401"/>
      <c r="H84" s="1402"/>
    </row>
    <row r="85" spans="1:8" ht="39" customHeight="1">
      <c r="A85" s="887" t="s">
        <v>129</v>
      </c>
      <c r="B85" s="888" t="s">
        <v>875</v>
      </c>
      <c r="C85" s="888" t="s">
        <v>258</v>
      </c>
      <c r="D85" s="889" t="s">
        <v>253</v>
      </c>
      <c r="E85" s="887" t="s">
        <v>129</v>
      </c>
      <c r="F85" s="888" t="s">
        <v>875</v>
      </c>
      <c r="G85" s="888" t="s">
        <v>258</v>
      </c>
      <c r="H85" s="889" t="s">
        <v>253</v>
      </c>
    </row>
    <row r="86" spans="1:8" ht="12.75">
      <c r="A86" s="188" t="s">
        <v>8</v>
      </c>
      <c r="B86" s="65">
        <v>2404</v>
      </c>
      <c r="C86" s="65">
        <v>1683</v>
      </c>
      <c r="D86" s="65">
        <v>0</v>
      </c>
      <c r="E86" s="188" t="s">
        <v>460</v>
      </c>
      <c r="F86" s="65">
        <v>366</v>
      </c>
      <c r="G86" s="65">
        <v>311</v>
      </c>
      <c r="H86" s="65">
        <v>0</v>
      </c>
    </row>
    <row r="87" spans="1:8" ht="12.75">
      <c r="A87" s="188" t="s">
        <v>9</v>
      </c>
      <c r="B87" s="65">
        <v>714</v>
      </c>
      <c r="C87" s="65">
        <v>480</v>
      </c>
      <c r="D87" s="65">
        <v>0</v>
      </c>
      <c r="E87" s="188" t="s">
        <v>461</v>
      </c>
      <c r="F87" s="65">
        <v>0</v>
      </c>
      <c r="G87" s="65">
        <v>0</v>
      </c>
      <c r="H87" s="65">
        <v>0</v>
      </c>
    </row>
    <row r="88" spans="1:8" ht="12.75">
      <c r="A88" s="188" t="s">
        <v>10</v>
      </c>
      <c r="B88" s="65">
        <v>0</v>
      </c>
      <c r="C88" s="65">
        <v>0</v>
      </c>
      <c r="D88" s="65">
        <v>0</v>
      </c>
      <c r="E88" s="188" t="s">
        <v>502</v>
      </c>
      <c r="F88" s="891">
        <v>0</v>
      </c>
      <c r="G88" s="65">
        <v>0</v>
      </c>
      <c r="H88" s="65">
        <v>0</v>
      </c>
    </row>
    <row r="89" spans="1:8" ht="12.75">
      <c r="A89" s="188" t="s">
        <v>607</v>
      </c>
      <c r="B89" s="65">
        <v>19</v>
      </c>
      <c r="C89" s="65">
        <v>19</v>
      </c>
      <c r="D89" s="65">
        <v>0</v>
      </c>
      <c r="E89" s="188" t="s">
        <v>500</v>
      </c>
      <c r="F89" s="891">
        <v>0</v>
      </c>
      <c r="G89" s="65">
        <v>0</v>
      </c>
      <c r="H89" s="65">
        <v>0</v>
      </c>
    </row>
    <row r="90" spans="1:8" ht="12.75">
      <c r="A90" s="188" t="s">
        <v>11</v>
      </c>
      <c r="B90" s="65">
        <v>179</v>
      </c>
      <c r="C90" s="65">
        <v>663</v>
      </c>
      <c r="D90" s="65">
        <v>0</v>
      </c>
      <c r="E90" s="188" t="s">
        <v>501</v>
      </c>
      <c r="F90" s="891">
        <v>0</v>
      </c>
      <c r="G90" s="65">
        <v>0</v>
      </c>
      <c r="H90" s="65">
        <v>0</v>
      </c>
    </row>
    <row r="91" spans="1:8" ht="12.75">
      <c r="A91" s="188" t="s">
        <v>17</v>
      </c>
      <c r="B91" s="65">
        <v>0</v>
      </c>
      <c r="C91" s="65">
        <v>0</v>
      </c>
      <c r="D91" s="65">
        <v>0</v>
      </c>
      <c r="E91" s="188" t="s">
        <v>462</v>
      </c>
      <c r="F91" s="65">
        <v>2287</v>
      </c>
      <c r="G91" s="65">
        <v>1945</v>
      </c>
      <c r="H91" s="65">
        <v>0</v>
      </c>
    </row>
    <row r="92" spans="1:8" ht="12.75">
      <c r="A92" s="188"/>
      <c r="B92" s="65"/>
      <c r="C92" s="65"/>
      <c r="D92" s="65"/>
      <c r="E92" s="188" t="s">
        <v>13</v>
      </c>
      <c r="F92" s="65">
        <v>0</v>
      </c>
      <c r="G92" s="65">
        <v>0</v>
      </c>
      <c r="H92" s="65">
        <v>0</v>
      </c>
    </row>
    <row r="93" spans="1:8" ht="12.75">
      <c r="A93" s="188"/>
      <c r="B93" s="65"/>
      <c r="C93" s="65"/>
      <c r="D93" s="65"/>
      <c r="E93" s="188" t="s">
        <v>203</v>
      </c>
      <c r="F93" s="65">
        <v>0</v>
      </c>
      <c r="G93" s="65">
        <v>0</v>
      </c>
      <c r="H93" s="65">
        <v>0</v>
      </c>
    </row>
    <row r="94" spans="1:8" ht="12.75">
      <c r="A94" s="188"/>
      <c r="B94" s="65"/>
      <c r="C94" s="65"/>
      <c r="D94" s="65"/>
      <c r="E94" s="188" t="s">
        <v>11</v>
      </c>
      <c r="F94" s="65">
        <v>663</v>
      </c>
      <c r="G94" s="65">
        <v>589</v>
      </c>
      <c r="H94" s="65">
        <v>0</v>
      </c>
    </row>
    <row r="95" spans="1:8" ht="15.75">
      <c r="A95" s="892" t="s">
        <v>14</v>
      </c>
      <c r="B95" s="893">
        <f>SUM(B86:B94)</f>
        <v>3316</v>
      </c>
      <c r="C95" s="893">
        <f>SUM(C86:C94)</f>
        <v>2845</v>
      </c>
      <c r="D95" s="893">
        <f>SUM(D86:D94)</f>
        <v>0</v>
      </c>
      <c r="E95" s="892" t="s">
        <v>756</v>
      </c>
      <c r="F95" s="893">
        <f>SUM(F86:F87,F91:F94)</f>
        <v>3316</v>
      </c>
      <c r="G95" s="893">
        <f>SUM(G86:G87,G91:G94)</f>
        <v>2845</v>
      </c>
      <c r="H95" s="893">
        <f>SUM(H86:H87,H91:H94)</f>
        <v>0</v>
      </c>
    </row>
    <row r="96" spans="1:8" ht="15.75">
      <c r="A96" s="894"/>
      <c r="B96" s="895"/>
      <c r="C96" s="895"/>
      <c r="D96" s="895"/>
      <c r="E96" s="894"/>
      <c r="F96" s="895"/>
      <c r="G96" s="895"/>
      <c r="H96" s="895"/>
    </row>
    <row r="97" spans="1:8" ht="15.75">
      <c r="A97" s="894"/>
      <c r="B97" s="895"/>
      <c r="C97" s="895"/>
      <c r="D97" s="895"/>
      <c r="E97" s="894"/>
      <c r="F97" s="895"/>
      <c r="G97" s="895"/>
      <c r="H97" s="895"/>
    </row>
    <row r="98" spans="1:8" ht="15.75">
      <c r="A98" s="894"/>
      <c r="B98" s="895"/>
      <c r="C98" s="895"/>
      <c r="D98" s="895"/>
      <c r="E98" s="894"/>
      <c r="F98" s="895"/>
      <c r="G98" s="895"/>
      <c r="H98" s="895"/>
    </row>
    <row r="99" spans="1:8" ht="15.75">
      <c r="A99" s="26" t="s">
        <v>434</v>
      </c>
      <c r="B99" s="133"/>
      <c r="C99" s="133"/>
      <c r="D99" s="859"/>
      <c r="E99" s="809"/>
      <c r="F99" s="859"/>
      <c r="G99" s="859"/>
      <c r="H99" s="859"/>
    </row>
    <row r="100" spans="1:8" ht="12.75">
      <c r="A100" s="27"/>
      <c r="B100" s="134"/>
      <c r="C100" s="134"/>
      <c r="D100" s="134"/>
      <c r="E100" s="27"/>
      <c r="F100" s="134"/>
      <c r="G100" s="134"/>
      <c r="H100" s="886" t="s">
        <v>128</v>
      </c>
    </row>
    <row r="101" spans="1:8" ht="15.75">
      <c r="A101" s="1400" t="s">
        <v>390</v>
      </c>
      <c r="B101" s="1401"/>
      <c r="C101" s="1401"/>
      <c r="D101" s="1402"/>
      <c r="E101" s="1401" t="s">
        <v>459</v>
      </c>
      <c r="F101" s="1401"/>
      <c r="G101" s="1401"/>
      <c r="H101" s="1402"/>
    </row>
    <row r="102" spans="1:8" ht="39" customHeight="1">
      <c r="A102" s="887" t="s">
        <v>129</v>
      </c>
      <c r="B102" s="888" t="s">
        <v>875</v>
      </c>
      <c r="C102" s="888" t="s">
        <v>258</v>
      </c>
      <c r="D102" s="889" t="s">
        <v>253</v>
      </c>
      <c r="E102" s="887" t="s">
        <v>129</v>
      </c>
      <c r="F102" s="888" t="s">
        <v>875</v>
      </c>
      <c r="G102" s="888" t="s">
        <v>258</v>
      </c>
      <c r="H102" s="889" t="s">
        <v>253</v>
      </c>
    </row>
    <row r="103" spans="1:8" ht="12.75">
      <c r="A103" s="188" t="s">
        <v>8</v>
      </c>
      <c r="B103" s="65">
        <v>1753</v>
      </c>
      <c r="C103" s="65">
        <v>1553</v>
      </c>
      <c r="D103" s="65">
        <v>0</v>
      </c>
      <c r="E103" s="188" t="s">
        <v>460</v>
      </c>
      <c r="F103" s="65">
        <v>220</v>
      </c>
      <c r="G103" s="65">
        <v>148</v>
      </c>
      <c r="H103" s="65">
        <v>0</v>
      </c>
    </row>
    <row r="104" spans="1:8" ht="12.75">
      <c r="A104" s="188" t="s">
        <v>9</v>
      </c>
      <c r="B104" s="65">
        <v>714</v>
      </c>
      <c r="C104" s="65">
        <v>640</v>
      </c>
      <c r="D104" s="65">
        <v>640</v>
      </c>
      <c r="E104" s="188" t="s">
        <v>461</v>
      </c>
      <c r="F104" s="65">
        <v>0</v>
      </c>
      <c r="G104" s="65">
        <v>0</v>
      </c>
      <c r="H104" s="65">
        <v>0</v>
      </c>
    </row>
    <row r="105" spans="1:8" ht="12.75">
      <c r="A105" s="188" t="s">
        <v>10</v>
      </c>
      <c r="B105" s="65">
        <v>0</v>
      </c>
      <c r="C105" s="65">
        <v>200</v>
      </c>
      <c r="D105" s="65">
        <v>0</v>
      </c>
      <c r="E105" s="188" t="s">
        <v>502</v>
      </c>
      <c r="F105" s="891">
        <v>0</v>
      </c>
      <c r="G105" s="65">
        <v>0</v>
      </c>
      <c r="H105" s="65">
        <v>0</v>
      </c>
    </row>
    <row r="106" spans="1:8" ht="12.75">
      <c r="A106" s="188" t="s">
        <v>607</v>
      </c>
      <c r="B106" s="65">
        <v>7</v>
      </c>
      <c r="C106" s="65">
        <v>12</v>
      </c>
      <c r="D106" s="65">
        <v>0</v>
      </c>
      <c r="E106" s="188" t="s">
        <v>500</v>
      </c>
      <c r="F106" s="891">
        <v>0</v>
      </c>
      <c r="G106" s="65">
        <v>0</v>
      </c>
      <c r="H106" s="65">
        <v>0</v>
      </c>
    </row>
    <row r="107" spans="1:8" ht="12.75">
      <c r="A107" s="188" t="s">
        <v>11</v>
      </c>
      <c r="B107" s="65">
        <v>27</v>
      </c>
      <c r="C107" s="65">
        <v>297</v>
      </c>
      <c r="D107" s="65">
        <v>0</v>
      </c>
      <c r="E107" s="188" t="s">
        <v>501</v>
      </c>
      <c r="F107" s="891">
        <v>0</v>
      </c>
      <c r="G107" s="65">
        <v>0</v>
      </c>
      <c r="H107" s="65">
        <v>0</v>
      </c>
    </row>
    <row r="108" spans="1:8" ht="12.75">
      <c r="A108" s="188" t="s">
        <v>18</v>
      </c>
      <c r="B108" s="65">
        <v>0</v>
      </c>
      <c r="C108" s="65">
        <v>0</v>
      </c>
      <c r="D108" s="65">
        <v>0</v>
      </c>
      <c r="E108" s="188" t="s">
        <v>462</v>
      </c>
      <c r="F108" s="65">
        <v>1684</v>
      </c>
      <c r="G108" s="65">
        <v>1914</v>
      </c>
      <c r="H108" s="65">
        <v>640</v>
      </c>
    </row>
    <row r="109" spans="1:8" ht="12.75">
      <c r="A109" s="188"/>
      <c r="B109" s="65"/>
      <c r="C109" s="65"/>
      <c r="D109" s="65"/>
      <c r="E109" s="188" t="s">
        <v>13</v>
      </c>
      <c r="F109" s="65">
        <v>300</v>
      </c>
      <c r="G109" s="65">
        <v>100</v>
      </c>
      <c r="H109" s="65">
        <v>0</v>
      </c>
    </row>
    <row r="110" spans="1:8" ht="12.75">
      <c r="A110" s="188"/>
      <c r="B110" s="65"/>
      <c r="C110" s="65"/>
      <c r="D110" s="65"/>
      <c r="E110" s="188" t="s">
        <v>203</v>
      </c>
      <c r="F110" s="65">
        <v>0</v>
      </c>
      <c r="G110" s="65"/>
      <c r="H110" s="65">
        <v>0</v>
      </c>
    </row>
    <row r="111" spans="1:8" ht="12.75">
      <c r="A111" s="188"/>
      <c r="B111" s="65"/>
      <c r="C111" s="65"/>
      <c r="D111" s="65"/>
      <c r="E111" s="188" t="s">
        <v>11</v>
      </c>
      <c r="F111" s="65">
        <v>297</v>
      </c>
      <c r="G111" s="65">
        <v>540</v>
      </c>
      <c r="H111" s="65">
        <v>0</v>
      </c>
    </row>
    <row r="112" spans="1:8" ht="15.75">
      <c r="A112" s="892" t="s">
        <v>14</v>
      </c>
      <c r="B112" s="893">
        <f>SUM(B103:B111)</f>
        <v>2501</v>
      </c>
      <c r="C112" s="893">
        <f>SUM(C103:C111)</f>
        <v>2702</v>
      </c>
      <c r="D112" s="893">
        <f>SUM(D103:D111)</f>
        <v>640</v>
      </c>
      <c r="E112" s="892" t="s">
        <v>756</v>
      </c>
      <c r="F112" s="893">
        <f>SUM(F103:F104,F108:F111)</f>
        <v>2501</v>
      </c>
      <c r="G112" s="893">
        <f>SUM(G103:G104,G108:G111)</f>
        <v>2702</v>
      </c>
      <c r="H112" s="893">
        <f>SUM(H103:H104,H108:H111)</f>
        <v>640</v>
      </c>
    </row>
    <row r="113" spans="1:8" ht="12.75">
      <c r="A113" s="27"/>
      <c r="B113" s="134"/>
      <c r="C113" s="134"/>
      <c r="D113" s="134"/>
      <c r="E113" s="27"/>
      <c r="F113" s="134"/>
      <c r="G113" s="134"/>
      <c r="H113" s="134"/>
    </row>
    <row r="114" spans="1:8" ht="15.75">
      <c r="A114" s="26" t="s">
        <v>435</v>
      </c>
      <c r="B114" s="133"/>
      <c r="C114" s="133"/>
      <c r="D114" s="859"/>
      <c r="E114" s="809"/>
      <c r="F114" s="859"/>
      <c r="G114" s="859"/>
      <c r="H114" s="859"/>
    </row>
    <row r="115" spans="1:8" ht="12.75">
      <c r="A115" s="27"/>
      <c r="B115" s="134"/>
      <c r="C115" s="134"/>
      <c r="D115" s="134"/>
      <c r="E115" s="27"/>
      <c r="F115" s="134"/>
      <c r="G115" s="134"/>
      <c r="H115" s="886" t="s">
        <v>128</v>
      </c>
    </row>
    <row r="116" spans="1:8" ht="15.75">
      <c r="A116" s="1400" t="s">
        <v>390</v>
      </c>
      <c r="B116" s="1401"/>
      <c r="C116" s="1401"/>
      <c r="D116" s="1402"/>
      <c r="E116" s="1401" t="s">
        <v>459</v>
      </c>
      <c r="F116" s="1401"/>
      <c r="G116" s="1401"/>
      <c r="H116" s="1402"/>
    </row>
    <row r="117" spans="1:8" ht="39" customHeight="1">
      <c r="A117" s="887" t="s">
        <v>129</v>
      </c>
      <c r="B117" s="888" t="s">
        <v>875</v>
      </c>
      <c r="C117" s="888" t="s">
        <v>258</v>
      </c>
      <c r="D117" s="889" t="s">
        <v>253</v>
      </c>
      <c r="E117" s="887" t="s">
        <v>129</v>
      </c>
      <c r="F117" s="888" t="s">
        <v>875</v>
      </c>
      <c r="G117" s="888" t="s">
        <v>258</v>
      </c>
      <c r="H117" s="889" t="s">
        <v>253</v>
      </c>
    </row>
    <row r="118" spans="1:8" ht="12.75">
      <c r="A118" s="188" t="s">
        <v>8</v>
      </c>
      <c r="B118" s="65">
        <v>2028</v>
      </c>
      <c r="C118" s="65">
        <v>1963</v>
      </c>
      <c r="D118" s="65">
        <v>0</v>
      </c>
      <c r="E118" s="188" t="s">
        <v>460</v>
      </c>
      <c r="F118" s="65">
        <v>293</v>
      </c>
      <c r="G118" s="65">
        <v>248</v>
      </c>
      <c r="H118" s="65">
        <v>0</v>
      </c>
    </row>
    <row r="119" spans="1:8" ht="12.75">
      <c r="A119" s="188" t="s">
        <v>9</v>
      </c>
      <c r="B119" s="65">
        <v>714</v>
      </c>
      <c r="C119" s="65">
        <v>640</v>
      </c>
      <c r="D119" s="65">
        <v>640</v>
      </c>
      <c r="E119" s="188" t="s">
        <v>461</v>
      </c>
      <c r="F119" s="65">
        <v>0</v>
      </c>
      <c r="G119" s="65">
        <v>0</v>
      </c>
      <c r="H119" s="65">
        <v>0</v>
      </c>
    </row>
    <row r="120" spans="1:8" ht="12.75">
      <c r="A120" s="188" t="s">
        <v>10</v>
      </c>
      <c r="B120" s="65">
        <v>0</v>
      </c>
      <c r="C120" s="65">
        <v>0</v>
      </c>
      <c r="D120" s="65">
        <v>0</v>
      </c>
      <c r="E120" s="188" t="s">
        <v>502</v>
      </c>
      <c r="F120" s="891">
        <v>0</v>
      </c>
      <c r="G120" s="65">
        <v>0</v>
      </c>
      <c r="H120" s="65">
        <v>0</v>
      </c>
    </row>
    <row r="121" spans="1:8" ht="12.75">
      <c r="A121" s="188" t="s">
        <v>607</v>
      </c>
      <c r="B121" s="65">
        <v>23</v>
      </c>
      <c r="C121" s="65">
        <v>22</v>
      </c>
      <c r="D121" s="65">
        <v>0</v>
      </c>
      <c r="E121" s="188" t="s">
        <v>500</v>
      </c>
      <c r="F121" s="891">
        <v>0</v>
      </c>
      <c r="G121" s="65">
        <v>0</v>
      </c>
      <c r="H121" s="65">
        <v>0</v>
      </c>
    </row>
    <row r="122" spans="1:8" ht="12.75">
      <c r="A122" s="188" t="s">
        <v>11</v>
      </c>
      <c r="B122" s="65">
        <v>422</v>
      </c>
      <c r="C122" s="65">
        <v>654</v>
      </c>
      <c r="D122" s="65">
        <v>0</v>
      </c>
      <c r="E122" s="706" t="s">
        <v>501</v>
      </c>
      <c r="F122" s="891">
        <v>0</v>
      </c>
      <c r="G122" s="65">
        <v>0</v>
      </c>
      <c r="H122" s="65">
        <v>0</v>
      </c>
    </row>
    <row r="123" spans="1:8" ht="12.75">
      <c r="A123" s="188"/>
      <c r="B123" s="65"/>
      <c r="C123" s="65"/>
      <c r="D123" s="65"/>
      <c r="E123" s="188" t="s">
        <v>462</v>
      </c>
      <c r="F123" s="65">
        <v>2240</v>
      </c>
      <c r="G123" s="65">
        <v>2784</v>
      </c>
      <c r="H123" s="65">
        <v>640</v>
      </c>
    </row>
    <row r="124" spans="1:8" ht="12.75">
      <c r="A124" s="188"/>
      <c r="B124" s="65"/>
      <c r="C124" s="65"/>
      <c r="D124" s="65"/>
      <c r="E124" s="188" t="s">
        <v>15</v>
      </c>
      <c r="F124" s="65">
        <v>0</v>
      </c>
      <c r="G124" s="65">
        <v>0</v>
      </c>
      <c r="H124" s="65">
        <v>0</v>
      </c>
    </row>
    <row r="125" spans="1:8" ht="12.75">
      <c r="A125" s="188"/>
      <c r="B125" s="65"/>
      <c r="C125" s="65"/>
      <c r="D125" s="65"/>
      <c r="E125" s="188" t="s">
        <v>203</v>
      </c>
      <c r="F125" s="65">
        <v>0</v>
      </c>
      <c r="G125" s="65">
        <v>0</v>
      </c>
      <c r="H125" s="65">
        <v>0</v>
      </c>
    </row>
    <row r="126" spans="1:8" ht="12.75">
      <c r="A126" s="188"/>
      <c r="B126" s="65"/>
      <c r="C126" s="65"/>
      <c r="D126" s="65"/>
      <c r="E126" s="188" t="s">
        <v>11</v>
      </c>
      <c r="F126" s="65">
        <v>654</v>
      </c>
      <c r="G126" s="65">
        <v>247</v>
      </c>
      <c r="H126" s="65">
        <v>0</v>
      </c>
    </row>
    <row r="127" spans="1:8" ht="15.75">
      <c r="A127" s="892" t="s">
        <v>14</v>
      </c>
      <c r="B127" s="893">
        <f>SUM(B118:B126)</f>
        <v>3187</v>
      </c>
      <c r="C127" s="893">
        <f>SUM(C118:C126)</f>
        <v>3279</v>
      </c>
      <c r="D127" s="893">
        <f>SUM(D118:D126)</f>
        <v>640</v>
      </c>
      <c r="E127" s="892" t="s">
        <v>756</v>
      </c>
      <c r="F127" s="893">
        <f>SUM(F118:F119,F123:F126)</f>
        <v>3187</v>
      </c>
      <c r="G127" s="893">
        <f>SUM(G118:G119,G123:G126)</f>
        <v>3279</v>
      </c>
      <c r="H127" s="893">
        <f>SUM(H118:H119,H123:H126)</f>
        <v>640</v>
      </c>
    </row>
    <row r="128" spans="1:8" ht="12.75">
      <c r="A128" s="27"/>
      <c r="B128" s="134"/>
      <c r="C128" s="134"/>
      <c r="D128" s="134"/>
      <c r="E128" s="27"/>
      <c r="F128" s="134"/>
      <c r="G128" s="134"/>
      <c r="H128" s="134"/>
    </row>
  </sheetData>
  <mergeCells count="16">
    <mergeCell ref="A51:D51"/>
    <mergeCell ref="E51:H51"/>
    <mergeCell ref="A4:D4"/>
    <mergeCell ref="E4:H4"/>
    <mergeCell ref="A19:D19"/>
    <mergeCell ref="E19:H19"/>
    <mergeCell ref="A36:D36"/>
    <mergeCell ref="E36:H36"/>
    <mergeCell ref="A69:D69"/>
    <mergeCell ref="E69:H69"/>
    <mergeCell ref="A84:D84"/>
    <mergeCell ref="E84:H84"/>
    <mergeCell ref="A101:D101"/>
    <mergeCell ref="E101:H101"/>
    <mergeCell ref="A116:D116"/>
    <mergeCell ref="E116:H116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&amp;C&amp;P&amp;R&amp;"Times New Roman CE,Normál"11.számú melléklet</oddHeader>
    <oddFooter>&amp;L&amp;"Times New Roman CE,Normál"&amp;8&amp;F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25">
      <selection activeCell="A32" sqref="A32"/>
    </sheetView>
  </sheetViews>
  <sheetFormatPr defaultColWidth="9.140625" defaultRowHeight="12.75"/>
  <cols>
    <col min="1" max="1" width="17.421875" style="897" customWidth="1"/>
    <col min="2" max="2" width="16.7109375" style="897" customWidth="1"/>
    <col min="3" max="3" width="18.28125" style="897" customWidth="1"/>
    <col min="4" max="4" width="19.421875" style="897" customWidth="1"/>
    <col min="5" max="5" width="18.8515625" style="897" customWidth="1"/>
    <col min="6" max="16384" width="8.00390625" style="897" customWidth="1"/>
  </cols>
  <sheetData>
    <row r="1" ht="15.75">
      <c r="A1" s="896"/>
    </row>
    <row r="2" spans="1:5" ht="18.75">
      <c r="A2" s="1248" t="s">
        <v>237</v>
      </c>
      <c r="B2" s="1249"/>
      <c r="C2" s="1250"/>
      <c r="D2" s="899"/>
      <c r="E2" s="899"/>
    </row>
    <row r="3" spans="1:5" ht="18.75">
      <c r="A3" s="898" t="s">
        <v>876</v>
      </c>
      <c r="B3" s="899"/>
      <c r="C3" s="899"/>
      <c r="D3" s="899"/>
      <c r="E3" s="899"/>
    </row>
    <row r="4" spans="1:5" ht="18.75">
      <c r="A4" s="898" t="s">
        <v>288</v>
      </c>
      <c r="B4" s="899"/>
      <c r="C4" s="899"/>
      <c r="D4" s="899"/>
      <c r="E4" s="899"/>
    </row>
    <row r="5" ht="15.75">
      <c r="A5" s="900"/>
    </row>
    <row r="6" ht="15.75">
      <c r="A6" s="901"/>
    </row>
    <row r="7" ht="18.75">
      <c r="A7" s="902" t="s">
        <v>289</v>
      </c>
    </row>
    <row r="8" ht="18.75">
      <c r="A8" s="902" t="s">
        <v>19</v>
      </c>
    </row>
    <row r="9" ht="15.75">
      <c r="A9" s="903"/>
    </row>
    <row r="11" ht="15.75">
      <c r="A11" s="904" t="s">
        <v>20</v>
      </c>
    </row>
    <row r="12" ht="15.75">
      <c r="E12" s="905" t="s">
        <v>21</v>
      </c>
    </row>
    <row r="13" spans="1:5" ht="31.5">
      <c r="A13" s="906" t="s">
        <v>22</v>
      </c>
      <c r="B13" s="907" t="s">
        <v>877</v>
      </c>
      <c r="C13" s="907" t="s">
        <v>878</v>
      </c>
      <c r="D13" s="907" t="s">
        <v>879</v>
      </c>
      <c r="E13" s="907" t="s">
        <v>880</v>
      </c>
    </row>
    <row r="14" spans="1:5" ht="15.75">
      <c r="A14" s="908">
        <v>2014</v>
      </c>
      <c r="B14" s="909">
        <v>821422</v>
      </c>
      <c r="C14" s="909">
        <v>0</v>
      </c>
      <c r="D14" s="909">
        <v>104814</v>
      </c>
      <c r="E14" s="909">
        <f>SUM(B14:C14)-D14</f>
        <v>716608</v>
      </c>
    </row>
    <row r="15" spans="1:5" s="904" customFormat="1" ht="15.75">
      <c r="A15" s="910" t="s">
        <v>7</v>
      </c>
      <c r="B15" s="911">
        <f>SUM(B14:B14)</f>
        <v>821422</v>
      </c>
      <c r="C15" s="911">
        <f>SUM(C14:C14)</f>
        <v>0</v>
      </c>
      <c r="D15" s="911">
        <f>SUM(D14:D14)</f>
        <v>104814</v>
      </c>
      <c r="E15" s="911">
        <f>SUM(E14:E14)</f>
        <v>716608</v>
      </c>
    </row>
    <row r="16" spans="1:5" s="915" customFormat="1" ht="15.75">
      <c r="A16" s="912"/>
      <c r="B16" s="913"/>
      <c r="C16" s="913"/>
      <c r="D16" s="914"/>
      <c r="E16" s="914"/>
    </row>
    <row r="17" spans="1:5" s="915" customFormat="1" ht="15.75">
      <c r="A17" s="912"/>
      <c r="B17" s="913"/>
      <c r="C17" s="913"/>
      <c r="D17" s="914"/>
      <c r="E17" s="914"/>
    </row>
    <row r="18" ht="15.75">
      <c r="A18" s="904" t="s">
        <v>290</v>
      </c>
    </row>
    <row r="19" ht="15.75">
      <c r="E19" s="905" t="s">
        <v>21</v>
      </c>
    </row>
    <row r="20" spans="1:5" ht="31.5">
      <c r="A20" s="906" t="s">
        <v>22</v>
      </c>
      <c r="B20" s="907" t="s">
        <v>877</v>
      </c>
      <c r="C20" s="907" t="s">
        <v>878</v>
      </c>
      <c r="D20" s="907" t="s">
        <v>879</v>
      </c>
      <c r="E20" s="907" t="s">
        <v>880</v>
      </c>
    </row>
    <row r="21" spans="1:5" ht="15.75">
      <c r="A21" s="908">
        <v>2016</v>
      </c>
      <c r="B21" s="909">
        <v>307750</v>
      </c>
      <c r="C21" s="909">
        <v>0</v>
      </c>
      <c r="D21" s="909">
        <v>30750</v>
      </c>
      <c r="E21" s="909">
        <f>B21+C21-D21</f>
        <v>277000</v>
      </c>
    </row>
    <row r="22" spans="1:5" s="916" customFormat="1" ht="15.75" customHeight="1">
      <c r="A22" s="910" t="s">
        <v>7</v>
      </c>
      <c r="B22" s="911">
        <f>SUM(B21:B21)</f>
        <v>307750</v>
      </c>
      <c r="C22" s="911">
        <f>SUM(C21:C21)</f>
        <v>0</v>
      </c>
      <c r="D22" s="911">
        <f>SUM(D21:D21)</f>
        <v>30750</v>
      </c>
      <c r="E22" s="911">
        <f>SUM(E21:E21)</f>
        <v>277000</v>
      </c>
    </row>
    <row r="25" ht="15.75">
      <c r="A25" s="904" t="s">
        <v>23</v>
      </c>
    </row>
    <row r="26" spans="1:5" s="904" customFormat="1" ht="15.75">
      <c r="A26" s="897"/>
      <c r="B26" s="897"/>
      <c r="C26" s="897"/>
      <c r="D26" s="897"/>
      <c r="E26" s="905" t="s">
        <v>21</v>
      </c>
    </row>
    <row r="27" spans="1:5" ht="31.5">
      <c r="A27" s="906" t="s">
        <v>22</v>
      </c>
      <c r="B27" s="907" t="s">
        <v>877</v>
      </c>
      <c r="C27" s="907" t="s">
        <v>878</v>
      </c>
      <c r="D27" s="907" t="s">
        <v>879</v>
      </c>
      <c r="E27" s="907" t="s">
        <v>880</v>
      </c>
    </row>
    <row r="28" spans="1:5" ht="15.75">
      <c r="A28" s="917">
        <v>2018</v>
      </c>
      <c r="B28" s="918">
        <v>119000</v>
      </c>
      <c r="C28" s="918">
        <v>0</v>
      </c>
      <c r="D28" s="918">
        <v>9500</v>
      </c>
      <c r="E28" s="918">
        <f>B28+C28-D28</f>
        <v>109500</v>
      </c>
    </row>
    <row r="29" spans="1:5" s="916" customFormat="1" ht="15.75" customHeight="1">
      <c r="A29" s="910" t="s">
        <v>7</v>
      </c>
      <c r="B29" s="911">
        <f>SUM(B28:B28)</f>
        <v>119000</v>
      </c>
      <c r="C29" s="911">
        <f>SUM(C28:C28)</f>
        <v>0</v>
      </c>
      <c r="D29" s="911">
        <f>SUM(D28:D28)</f>
        <v>9500</v>
      </c>
      <c r="E29" s="911">
        <f>SUM(E28:E28)</f>
        <v>109500</v>
      </c>
    </row>
    <row r="30" spans="1:5" s="916" customFormat="1" ht="15.75" customHeight="1">
      <c r="A30" s="912"/>
      <c r="B30" s="913"/>
      <c r="C30" s="913"/>
      <c r="D30" s="913"/>
      <c r="E30" s="913"/>
    </row>
    <row r="31" spans="1:5" s="916" customFormat="1" ht="15.75" customHeight="1">
      <c r="A31" s="912"/>
      <c r="B31" s="913"/>
      <c r="C31" s="913"/>
      <c r="D31" s="913"/>
      <c r="E31" s="913"/>
    </row>
    <row r="32" spans="1:5" s="916" customFormat="1" ht="15.75" customHeight="1">
      <c r="A32" s="904" t="s">
        <v>291</v>
      </c>
      <c r="B32" s="897"/>
      <c r="C32" s="897"/>
      <c r="D32" s="897"/>
      <c r="E32" s="897"/>
    </row>
    <row r="33" spans="1:5" s="916" customFormat="1" ht="15.75" customHeight="1">
      <c r="A33" s="897"/>
      <c r="B33" s="897"/>
      <c r="C33" s="897"/>
      <c r="D33" s="897"/>
      <c r="E33" s="905" t="s">
        <v>21</v>
      </c>
    </row>
    <row r="34" spans="1:5" s="916" customFormat="1" ht="33" customHeight="1">
      <c r="A34" s="906" t="s">
        <v>22</v>
      </c>
      <c r="B34" s="907" t="s">
        <v>877</v>
      </c>
      <c r="C34" s="907" t="s">
        <v>878</v>
      </c>
      <c r="D34" s="907" t="s">
        <v>879</v>
      </c>
      <c r="E34" s="907" t="s">
        <v>880</v>
      </c>
    </row>
    <row r="35" spans="1:5" s="916" customFormat="1" ht="15.75" customHeight="1">
      <c r="A35" s="917">
        <v>2021</v>
      </c>
      <c r="B35" s="918">
        <v>456317</v>
      </c>
      <c r="C35" s="918">
        <v>32372</v>
      </c>
      <c r="D35" s="918">
        <v>0</v>
      </c>
      <c r="E35" s="918">
        <f>B35+C35-D35</f>
        <v>488689</v>
      </c>
    </row>
    <row r="36" spans="1:5" s="916" customFormat="1" ht="15.75" customHeight="1">
      <c r="A36" s="910" t="s">
        <v>7</v>
      </c>
      <c r="B36" s="911">
        <f>SUM(B35:B35)</f>
        <v>456317</v>
      </c>
      <c r="C36" s="911">
        <f>SUM(C35:C35)</f>
        <v>32372</v>
      </c>
      <c r="D36" s="911">
        <f>SUM(D35:D35)</f>
        <v>0</v>
      </c>
      <c r="E36" s="911">
        <f>SUM(E35:E35)</f>
        <v>488689</v>
      </c>
    </row>
    <row r="37" spans="1:5" s="916" customFormat="1" ht="15.75" customHeight="1">
      <c r="A37" s="912"/>
      <c r="B37" s="913"/>
      <c r="C37" s="913"/>
      <c r="D37" s="913"/>
      <c r="E37" s="913"/>
    </row>
    <row r="38" spans="1:5" s="916" customFormat="1" ht="15.75" customHeight="1">
      <c r="A38" s="912"/>
      <c r="B38" s="913"/>
      <c r="C38" s="913"/>
      <c r="D38" s="913"/>
      <c r="E38" s="913"/>
    </row>
    <row r="39" spans="1:5" s="921" customFormat="1" ht="18.75" customHeight="1">
      <c r="A39" s="919" t="s">
        <v>24</v>
      </c>
      <c r="B39" s="920">
        <f>SUM(B15,B22,B29,B36)</f>
        <v>1704489</v>
      </c>
      <c r="C39" s="920">
        <f>SUM(C15,C22,C29,C36)</f>
        <v>32372</v>
      </c>
      <c r="D39" s="920">
        <f>SUM(D15,D22,D29,D36)</f>
        <v>145064</v>
      </c>
      <c r="E39" s="920">
        <f>SUM(E15,E22,E29,E36)</f>
        <v>1591797</v>
      </c>
    </row>
    <row r="40" ht="15.75">
      <c r="A40" s="916"/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CE,Normál"12.számú melléklet</oddHeader>
    <oddFooter>&amp;L&amp;"Times New Roman CE,Normál"&amp;8&amp;F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4:E17"/>
  <sheetViews>
    <sheetView workbookViewId="0" topLeftCell="A9">
      <selection activeCell="A17" sqref="A17"/>
    </sheetView>
  </sheetViews>
  <sheetFormatPr defaultColWidth="9.140625" defaultRowHeight="12.75"/>
  <cols>
    <col min="1" max="1" width="27.421875" style="27" customWidth="1"/>
    <col min="2" max="2" width="34.421875" style="27" customWidth="1"/>
    <col min="3" max="3" width="10.57421875" style="27" customWidth="1"/>
    <col min="4" max="4" width="10.140625" style="27" customWidth="1"/>
    <col min="5" max="5" width="9.57421875" style="27" customWidth="1"/>
  </cols>
  <sheetData>
    <row r="4" spans="1:5" ht="18.75">
      <c r="A4" s="1403" t="s">
        <v>426</v>
      </c>
      <c r="B4" s="1403"/>
      <c r="C4" s="1403"/>
      <c r="D4" s="1403"/>
      <c r="E4" s="1403"/>
    </row>
    <row r="5" spans="1:5" ht="18.75">
      <c r="A5" s="1403" t="s">
        <v>904</v>
      </c>
      <c r="B5" s="1403"/>
      <c r="C5" s="1403"/>
      <c r="D5" s="1403"/>
      <c r="E5" s="1403"/>
    </row>
    <row r="6" spans="1:5" ht="18.75">
      <c r="A6" s="37" t="s">
        <v>25</v>
      </c>
      <c r="B6" s="26"/>
      <c r="C6" s="659"/>
      <c r="D6" s="659"/>
      <c r="E6" s="809"/>
    </row>
    <row r="7" spans="1:5" s="1" customFormat="1" ht="18.75">
      <c r="A7" s="37" t="s">
        <v>26</v>
      </c>
      <c r="B7" s="26"/>
      <c r="C7" s="659"/>
      <c r="D7" s="659"/>
      <c r="E7" s="659"/>
    </row>
    <row r="8" spans="1:5" s="1" customFormat="1" ht="18.75">
      <c r="A8" s="37"/>
      <c r="B8" s="26"/>
      <c r="C8" s="659"/>
      <c r="D8" s="659"/>
      <c r="E8" s="659"/>
    </row>
    <row r="9" spans="1:5" s="1" customFormat="1" ht="15.75">
      <c r="A9" s="26"/>
      <c r="B9" s="26"/>
      <c r="C9" s="659"/>
      <c r="D9" s="659"/>
      <c r="E9" s="659"/>
    </row>
    <row r="12" ht="12.75">
      <c r="E12" s="41" t="s">
        <v>128</v>
      </c>
    </row>
    <row r="13" spans="1:5" s="923" customFormat="1" ht="19.5" customHeight="1">
      <c r="A13" s="860" t="s">
        <v>27</v>
      </c>
      <c r="B13" s="860" t="s">
        <v>28</v>
      </c>
      <c r="C13" s="922" t="s">
        <v>29</v>
      </c>
      <c r="D13" s="922" t="s">
        <v>881</v>
      </c>
      <c r="E13" s="922" t="s">
        <v>905</v>
      </c>
    </row>
    <row r="14" spans="1:5" ht="18" customHeight="1">
      <c r="A14" s="188" t="s">
        <v>86</v>
      </c>
      <c r="B14" s="188" t="s">
        <v>85</v>
      </c>
      <c r="C14" s="65">
        <v>332000</v>
      </c>
      <c r="D14" s="65">
        <v>332000</v>
      </c>
      <c r="E14" s="65"/>
    </row>
    <row r="15" spans="1:5" ht="38.25">
      <c r="A15" s="924" t="s">
        <v>566</v>
      </c>
      <c r="B15" s="374" t="s">
        <v>567</v>
      </c>
      <c r="C15" s="380">
        <v>13464</v>
      </c>
      <c r="D15" s="380">
        <v>1914</v>
      </c>
      <c r="E15" s="380"/>
    </row>
    <row r="16" spans="1:5" ht="36" customHeight="1">
      <c r="A16" s="924" t="s">
        <v>568</v>
      </c>
      <c r="B16" s="374" t="s">
        <v>815</v>
      </c>
      <c r="C16" s="380"/>
      <c r="D16" s="380"/>
      <c r="E16" s="380"/>
    </row>
    <row r="17" spans="1:5" s="926" customFormat="1" ht="18" customHeight="1">
      <c r="A17" s="925" t="s">
        <v>569</v>
      </c>
      <c r="B17" s="582" t="s">
        <v>816</v>
      </c>
      <c r="C17" s="395">
        <v>280896</v>
      </c>
      <c r="D17" s="395"/>
      <c r="E17" s="380"/>
    </row>
  </sheetData>
  <mergeCells count="2">
    <mergeCell ref="A4:E4"/>
    <mergeCell ref="A5:E5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&amp;R&amp;"Times New Roman CE,Normál"13.számú melléklet</oddHeader>
    <oddFooter>&amp;L&amp;"Times New Roman CE,Normál"&amp;8&amp;F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3:D35"/>
  <sheetViews>
    <sheetView zoomScale="90" zoomScaleNormal="90" workbookViewId="0" topLeftCell="A1">
      <selection activeCell="A3" sqref="A3"/>
    </sheetView>
  </sheetViews>
  <sheetFormatPr defaultColWidth="9.140625" defaultRowHeight="12.75"/>
  <cols>
    <col min="1" max="1" width="4.57421875" style="27" customWidth="1"/>
    <col min="2" max="2" width="53.57421875" style="27" customWidth="1"/>
    <col min="3" max="3" width="9.140625" style="27" customWidth="1"/>
    <col min="4" max="4" width="11.421875" style="27" customWidth="1"/>
  </cols>
  <sheetData>
    <row r="3" spans="1:4" ht="15.75">
      <c r="A3" s="26" t="s">
        <v>426</v>
      </c>
      <c r="B3" s="26"/>
      <c r="C3" s="26"/>
      <c r="D3" s="26"/>
    </row>
    <row r="4" spans="1:4" ht="15.75">
      <c r="A4" s="26" t="s">
        <v>93</v>
      </c>
      <c r="B4" s="26"/>
      <c r="C4" s="26"/>
      <c r="D4" s="26"/>
    </row>
    <row r="5" spans="1:4" ht="15.75">
      <c r="A5" s="26" t="s">
        <v>128</v>
      </c>
      <c r="B5" s="26"/>
      <c r="C5" s="26"/>
      <c r="D5" s="26"/>
    </row>
    <row r="9" spans="1:4" ht="19.5" customHeight="1">
      <c r="A9" s="27" t="s">
        <v>817</v>
      </c>
      <c r="C9" s="134"/>
      <c r="D9" s="134">
        <v>2684721</v>
      </c>
    </row>
    <row r="10" spans="1:4" ht="19.5" customHeight="1">
      <c r="A10" s="27" t="s">
        <v>818</v>
      </c>
      <c r="C10" s="134"/>
      <c r="D10" s="134">
        <f>SUM(C11:C12)</f>
        <v>920291</v>
      </c>
    </row>
    <row r="11" spans="2:4" ht="19.5" customHeight="1">
      <c r="B11" s="927" t="s">
        <v>1033</v>
      </c>
      <c r="C11" s="134">
        <v>803064</v>
      </c>
      <c r="D11" s="134"/>
    </row>
    <row r="12" spans="2:4" ht="19.5" customHeight="1">
      <c r="B12" s="927" t="s">
        <v>819</v>
      </c>
      <c r="C12" s="134">
        <v>117227</v>
      </c>
      <c r="D12" s="134"/>
    </row>
    <row r="13" spans="1:4" ht="19.5" customHeight="1">
      <c r="A13" s="27" t="s">
        <v>820</v>
      </c>
      <c r="C13" s="134"/>
      <c r="D13" s="134">
        <f>SUM(C14:C18)</f>
        <v>8987668</v>
      </c>
    </row>
    <row r="14" spans="2:4" ht="19.5" customHeight="1">
      <c r="B14" s="927" t="s">
        <v>1024</v>
      </c>
      <c r="C14" s="134">
        <v>1145471</v>
      </c>
      <c r="D14" s="134"/>
    </row>
    <row r="15" spans="2:4" ht="19.5" customHeight="1">
      <c r="B15" s="927" t="s">
        <v>821</v>
      </c>
      <c r="C15" s="134">
        <v>5464408</v>
      </c>
      <c r="D15" s="134"/>
    </row>
    <row r="16" spans="2:4" ht="19.5" customHeight="1">
      <c r="B16" s="927" t="s">
        <v>822</v>
      </c>
      <c r="C16" s="134">
        <v>1741289</v>
      </c>
      <c r="D16" s="134"/>
    </row>
    <row r="17" spans="2:4" ht="19.5" customHeight="1">
      <c r="B17" s="927" t="s">
        <v>1027</v>
      </c>
      <c r="C17" s="134">
        <v>636500</v>
      </c>
      <c r="D17" s="134"/>
    </row>
    <row r="18" spans="2:4" ht="19.5" customHeight="1">
      <c r="B18" s="927" t="s">
        <v>1029</v>
      </c>
      <c r="C18" s="134">
        <v>0</v>
      </c>
      <c r="D18" s="134"/>
    </row>
    <row r="19" spans="1:4" ht="19.5" customHeight="1">
      <c r="A19" s="27" t="s">
        <v>823</v>
      </c>
      <c r="C19" s="134"/>
      <c r="D19" s="134">
        <f>SUM(D9:D10,D13)</f>
        <v>12592680</v>
      </c>
    </row>
    <row r="20" spans="1:4" ht="19.5" customHeight="1">
      <c r="A20" s="33" t="s">
        <v>824</v>
      </c>
      <c r="B20" s="33"/>
      <c r="C20" s="136"/>
      <c r="D20" s="136">
        <v>14558596</v>
      </c>
    </row>
    <row r="21" spans="1:4" ht="19.5" customHeight="1">
      <c r="A21" s="928"/>
      <c r="B21" s="928" t="s">
        <v>94</v>
      </c>
      <c r="C21" s="929"/>
      <c r="D21" s="929">
        <v>1106074</v>
      </c>
    </row>
    <row r="22" spans="1:4" s="1" customFormat="1" ht="19.5" customHeight="1">
      <c r="A22" s="810" t="s">
        <v>825</v>
      </c>
      <c r="B22" s="810"/>
      <c r="C22" s="930"/>
      <c r="D22" s="930">
        <f>D19-D20</f>
        <v>-1965916</v>
      </c>
    </row>
    <row r="23" spans="1:4" s="1" customFormat="1" ht="19.5" customHeight="1">
      <c r="A23" s="810"/>
      <c r="B23" s="810"/>
      <c r="C23" s="930"/>
      <c r="D23" s="930"/>
    </row>
    <row r="24" spans="1:4" s="61" customFormat="1" ht="19.5" customHeight="1">
      <c r="A24" s="27" t="s">
        <v>826</v>
      </c>
      <c r="B24" s="27"/>
      <c r="C24" s="134"/>
      <c r="D24" s="134">
        <v>116752</v>
      </c>
    </row>
    <row r="25" spans="1:4" ht="19.5" customHeight="1">
      <c r="A25" s="27" t="s">
        <v>827</v>
      </c>
      <c r="C25" s="134"/>
      <c r="D25" s="134">
        <v>259276</v>
      </c>
    </row>
    <row r="26" spans="1:4" ht="19.5" customHeight="1">
      <c r="A26" s="27" t="s">
        <v>828</v>
      </c>
      <c r="C26" s="134"/>
      <c r="D26" s="134">
        <v>0</v>
      </c>
    </row>
    <row r="27" spans="1:4" ht="19.5" customHeight="1">
      <c r="A27" s="33" t="s">
        <v>829</v>
      </c>
      <c r="C27" s="134"/>
      <c r="D27" s="134">
        <v>22309</v>
      </c>
    </row>
    <row r="28" spans="1:4" ht="19.5" customHeight="1">
      <c r="A28" s="33" t="s">
        <v>830</v>
      </c>
      <c r="C28" s="134"/>
      <c r="D28" s="134">
        <v>0</v>
      </c>
    </row>
    <row r="29" spans="1:4" ht="19.5" customHeight="1">
      <c r="A29" s="27" t="s">
        <v>831</v>
      </c>
      <c r="C29" s="134"/>
      <c r="D29" s="134">
        <f>SUM(D24:D28)</f>
        <v>398337</v>
      </c>
    </row>
    <row r="30" spans="1:4" ht="19.5" customHeight="1">
      <c r="A30" s="33" t="s">
        <v>95</v>
      </c>
      <c r="B30" s="33"/>
      <c r="C30" s="136"/>
      <c r="D30" s="136">
        <v>2066709</v>
      </c>
    </row>
    <row r="31" spans="1:4" ht="19.5" customHeight="1">
      <c r="A31" s="33"/>
      <c r="B31" s="33" t="s">
        <v>94</v>
      </c>
      <c r="C31" s="136"/>
      <c r="D31" s="136">
        <v>1523156</v>
      </c>
    </row>
    <row r="32" spans="1:4" ht="19.5" customHeight="1">
      <c r="A32" s="1404" t="s">
        <v>96</v>
      </c>
      <c r="B32" s="1404"/>
      <c r="C32" s="929"/>
      <c r="D32" s="929">
        <v>145064</v>
      </c>
    </row>
    <row r="33" spans="1:4" s="1" customFormat="1" ht="19.5" customHeight="1">
      <c r="A33" s="810" t="s">
        <v>97</v>
      </c>
      <c r="B33" s="810"/>
      <c r="C33" s="930"/>
      <c r="D33" s="930">
        <f>D29-D30-D32</f>
        <v>-1813436</v>
      </c>
    </row>
    <row r="34" spans="1:4" s="1" customFormat="1" ht="19.5" customHeight="1">
      <c r="A34" s="810"/>
      <c r="B34" s="810"/>
      <c r="C34" s="930"/>
      <c r="D34" s="930"/>
    </row>
    <row r="35" spans="1:4" s="926" customFormat="1" ht="19.5" customHeight="1">
      <c r="A35" s="811" t="s">
        <v>98</v>
      </c>
      <c r="B35" s="811"/>
      <c r="C35" s="931"/>
      <c r="D35" s="931">
        <f>SUM(D22,D33)</f>
        <v>-3779352</v>
      </c>
    </row>
  </sheetData>
  <mergeCells count="1">
    <mergeCell ref="A32:B3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&amp;R&amp;"Times New Roman CE,Normál"14.számú melléklet</oddHeader>
    <oddFooter>&amp;L&amp;"Times New Roman CE,Normál"&amp;8&amp;F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2:B117"/>
  <sheetViews>
    <sheetView workbookViewId="0" topLeftCell="A98">
      <selection activeCell="A118" sqref="A118"/>
    </sheetView>
  </sheetViews>
  <sheetFormatPr defaultColWidth="9.140625" defaultRowHeight="12.75"/>
  <cols>
    <col min="1" max="1" width="69.421875" style="804" customWidth="1"/>
    <col min="2" max="2" width="16.28125" style="384" customWidth="1"/>
    <col min="3" max="16384" width="9.140625" style="804" customWidth="1"/>
  </cols>
  <sheetData>
    <row r="2" spans="1:2" ht="15.75">
      <c r="A2" s="1405" t="s">
        <v>25</v>
      </c>
      <c r="B2" s="1405"/>
    </row>
    <row r="3" spans="1:2" ht="15.75">
      <c r="A3" s="1405" t="s">
        <v>426</v>
      </c>
      <c r="B3" s="1405"/>
    </row>
    <row r="4" spans="1:2" ht="15.75">
      <c r="A4" s="1405" t="s">
        <v>832</v>
      </c>
      <c r="B4" s="1405"/>
    </row>
    <row r="5" spans="1:2" ht="15.75">
      <c r="A5" s="932"/>
      <c r="B5" s="932"/>
    </row>
    <row r="7" ht="12.75">
      <c r="B7" s="933" t="s">
        <v>128</v>
      </c>
    </row>
    <row r="8" spans="1:2" s="935" customFormat="1" ht="38.25">
      <c r="A8" s="934" t="s">
        <v>129</v>
      </c>
      <c r="B8" s="657" t="s">
        <v>882</v>
      </c>
    </row>
    <row r="9" spans="1:2" ht="12.75">
      <c r="A9" s="936" t="s">
        <v>463</v>
      </c>
      <c r="B9" s="385"/>
    </row>
    <row r="10" spans="1:2" ht="12.75">
      <c r="A10" s="805" t="s">
        <v>414</v>
      </c>
      <c r="B10" s="385">
        <v>288052</v>
      </c>
    </row>
    <row r="11" spans="1:2" ht="12.75">
      <c r="A11" s="805" t="s">
        <v>608</v>
      </c>
      <c r="B11" s="385">
        <v>234609</v>
      </c>
    </row>
    <row r="12" spans="1:2" ht="12.75">
      <c r="A12" s="805" t="s">
        <v>833</v>
      </c>
      <c r="B12" s="385">
        <v>286445</v>
      </c>
    </row>
    <row r="13" spans="1:2" ht="12.75">
      <c r="A13" s="805" t="s">
        <v>834</v>
      </c>
      <c r="B13" s="385">
        <v>53332</v>
      </c>
    </row>
    <row r="14" spans="1:2" ht="12.75">
      <c r="A14" s="805" t="s">
        <v>835</v>
      </c>
      <c r="B14" s="385">
        <v>29999</v>
      </c>
    </row>
    <row r="15" spans="1:2" ht="12.75">
      <c r="A15" s="805" t="s">
        <v>836</v>
      </c>
      <c r="B15" s="385">
        <v>44096</v>
      </c>
    </row>
    <row r="16" spans="1:2" ht="12.75">
      <c r="A16" s="805" t="s">
        <v>640</v>
      </c>
      <c r="B16" s="385">
        <v>45091</v>
      </c>
    </row>
    <row r="17" spans="1:2" ht="12.75">
      <c r="A17" s="805" t="s">
        <v>610</v>
      </c>
      <c r="B17" s="385">
        <v>31633</v>
      </c>
    </row>
    <row r="18" spans="1:2" ht="12.75">
      <c r="A18" s="805" t="s">
        <v>611</v>
      </c>
      <c r="B18" s="385">
        <v>35697</v>
      </c>
    </row>
    <row r="19" spans="1:2" ht="12.75">
      <c r="A19" s="805" t="s">
        <v>641</v>
      </c>
      <c r="B19" s="385">
        <v>30700</v>
      </c>
    </row>
    <row r="20" spans="1:2" ht="12.75">
      <c r="A20" s="805" t="s">
        <v>642</v>
      </c>
      <c r="B20" s="385">
        <v>26687</v>
      </c>
    </row>
    <row r="21" spans="1:2" ht="12.75">
      <c r="A21" s="805" t="s">
        <v>292</v>
      </c>
      <c r="B21" s="385">
        <v>32027</v>
      </c>
    </row>
    <row r="22" spans="1:2" ht="12.75">
      <c r="A22" s="805" t="s">
        <v>293</v>
      </c>
      <c r="B22" s="385">
        <v>35774</v>
      </c>
    </row>
    <row r="23" spans="1:2" ht="12.75">
      <c r="A23" s="805" t="s">
        <v>643</v>
      </c>
      <c r="B23" s="385">
        <v>56200</v>
      </c>
    </row>
    <row r="24" spans="1:2" ht="12.75">
      <c r="A24" s="805" t="s">
        <v>644</v>
      </c>
      <c r="B24" s="385">
        <v>34734</v>
      </c>
    </row>
    <row r="25" spans="1:2" ht="12.75">
      <c r="A25" s="805" t="s">
        <v>645</v>
      </c>
      <c r="B25" s="385">
        <v>27480</v>
      </c>
    </row>
    <row r="26" spans="1:2" ht="12.75">
      <c r="A26" s="805" t="s">
        <v>646</v>
      </c>
      <c r="B26" s="385">
        <v>70591</v>
      </c>
    </row>
    <row r="27" spans="1:2" ht="12.75">
      <c r="A27" s="805" t="s">
        <v>647</v>
      </c>
      <c r="B27" s="385">
        <v>51990</v>
      </c>
    </row>
    <row r="28" spans="1:2" ht="12.75">
      <c r="A28" s="805" t="s">
        <v>648</v>
      </c>
      <c r="B28" s="385">
        <v>30420</v>
      </c>
    </row>
    <row r="29" spans="1:2" ht="12.75">
      <c r="A29" s="805" t="s">
        <v>649</v>
      </c>
      <c r="B29" s="385">
        <v>27816</v>
      </c>
    </row>
    <row r="30" spans="1:2" ht="12.75">
      <c r="A30" s="805" t="s">
        <v>650</v>
      </c>
      <c r="B30" s="385">
        <v>165764</v>
      </c>
    </row>
    <row r="31" spans="1:2" ht="12.75">
      <c r="A31" s="805" t="s">
        <v>609</v>
      </c>
      <c r="B31" s="385">
        <v>161665</v>
      </c>
    </row>
    <row r="32" spans="1:2" ht="12.75">
      <c r="A32" s="805" t="s">
        <v>651</v>
      </c>
      <c r="B32" s="385">
        <v>138262</v>
      </c>
    </row>
    <row r="33" spans="1:2" ht="12.75">
      <c r="A33" s="805" t="s">
        <v>463</v>
      </c>
      <c r="B33" s="385">
        <v>103980</v>
      </c>
    </row>
    <row r="34" spans="1:2" ht="12.75">
      <c r="A34" s="805" t="s">
        <v>652</v>
      </c>
      <c r="B34" s="385">
        <v>41405</v>
      </c>
    </row>
    <row r="35" spans="1:2" ht="12.75">
      <c r="A35" s="805" t="s">
        <v>653</v>
      </c>
      <c r="B35" s="385">
        <v>38745</v>
      </c>
    </row>
    <row r="36" spans="1:2" s="937" customFormat="1" ht="12.75">
      <c r="A36" s="936" t="s">
        <v>654</v>
      </c>
      <c r="B36" s="387">
        <f>SUM(B10:B35)</f>
        <v>2123194</v>
      </c>
    </row>
    <row r="37" spans="1:2" s="937" customFormat="1" ht="12.75">
      <c r="A37" s="936" t="s">
        <v>294</v>
      </c>
      <c r="B37" s="387">
        <v>5691047</v>
      </c>
    </row>
    <row r="38" spans="1:2" s="937" customFormat="1" ht="12.75">
      <c r="A38" s="936"/>
      <c r="B38" s="387"/>
    </row>
    <row r="39" spans="1:2" ht="12.75">
      <c r="A39" s="936" t="s">
        <v>519</v>
      </c>
      <c r="B39" s="385"/>
    </row>
    <row r="40" spans="1:2" ht="12.75">
      <c r="A40" s="805" t="s">
        <v>655</v>
      </c>
      <c r="B40" s="385">
        <v>54384</v>
      </c>
    </row>
    <row r="41" spans="1:2" ht="12.75">
      <c r="A41" s="805" t="s">
        <v>656</v>
      </c>
      <c r="B41" s="385">
        <v>10702</v>
      </c>
    </row>
    <row r="42" spans="1:2" ht="12.75">
      <c r="A42" s="805" t="s">
        <v>657</v>
      </c>
      <c r="B42" s="385">
        <v>11768</v>
      </c>
    </row>
    <row r="43" spans="1:2" ht="12.75">
      <c r="A43" s="805" t="s">
        <v>658</v>
      </c>
      <c r="B43" s="385">
        <v>5535</v>
      </c>
    </row>
    <row r="44" spans="1:2" ht="12.75">
      <c r="A44" s="805" t="s">
        <v>659</v>
      </c>
      <c r="B44" s="385">
        <v>11764</v>
      </c>
    </row>
    <row r="45" spans="1:2" ht="12.75">
      <c r="A45" s="805" t="s">
        <v>660</v>
      </c>
      <c r="B45" s="385">
        <v>61281</v>
      </c>
    </row>
    <row r="46" spans="1:2" s="937" customFormat="1" ht="12.75">
      <c r="A46" s="936" t="s">
        <v>661</v>
      </c>
      <c r="B46" s="387">
        <f>SUM(B39:B45)</f>
        <v>155434</v>
      </c>
    </row>
    <row r="47" spans="1:2" s="937" customFormat="1" ht="12.75">
      <c r="A47" s="936" t="s">
        <v>295</v>
      </c>
      <c r="B47" s="387">
        <v>575187</v>
      </c>
    </row>
    <row r="48" spans="1:2" s="937" customFormat="1" ht="12.75">
      <c r="A48" s="938"/>
      <c r="B48" s="939"/>
    </row>
    <row r="49" spans="1:2" s="937" customFormat="1" ht="12.75">
      <c r="A49" s="938"/>
      <c r="B49" s="939"/>
    </row>
    <row r="50" spans="1:2" s="937" customFormat="1" ht="12.75">
      <c r="A50" s="938"/>
      <c r="B50" s="939"/>
    </row>
    <row r="51" spans="1:2" s="937" customFormat="1" ht="12.75">
      <c r="A51" s="938"/>
      <c r="B51" s="939"/>
    </row>
    <row r="52" spans="1:2" s="937" customFormat="1" ht="12.75">
      <c r="A52" s="938"/>
      <c r="B52" s="939"/>
    </row>
    <row r="53" spans="1:2" s="937" customFormat="1" ht="12.75">
      <c r="A53" s="938"/>
      <c r="B53" s="939"/>
    </row>
    <row r="54" spans="1:2" s="937" customFormat="1" ht="12.75">
      <c r="A54" s="936" t="s">
        <v>523</v>
      </c>
      <c r="B54" s="387"/>
    </row>
    <row r="55" spans="1:2" ht="12.75">
      <c r="A55" s="805" t="s">
        <v>662</v>
      </c>
      <c r="B55" s="385">
        <v>78984</v>
      </c>
    </row>
    <row r="56" spans="1:2" ht="12.75">
      <c r="A56" s="805" t="s">
        <v>663</v>
      </c>
      <c r="B56" s="385">
        <v>92538</v>
      </c>
    </row>
    <row r="57" spans="1:2" ht="12.75">
      <c r="A57" s="805" t="s">
        <v>664</v>
      </c>
      <c r="B57" s="385">
        <v>10674</v>
      </c>
    </row>
    <row r="58" spans="1:2" ht="12.75">
      <c r="A58" s="805" t="s">
        <v>837</v>
      </c>
      <c r="B58" s="385">
        <v>580776</v>
      </c>
    </row>
    <row r="59" spans="1:2" ht="12.75">
      <c r="A59" s="805" t="s">
        <v>838</v>
      </c>
      <c r="B59" s="385">
        <v>0</v>
      </c>
    </row>
    <row r="60" spans="1:2" ht="12.75">
      <c r="A60" s="805" t="s">
        <v>839</v>
      </c>
      <c r="B60" s="385">
        <v>20055</v>
      </c>
    </row>
    <row r="61" spans="1:2" s="937" customFormat="1" ht="12.75">
      <c r="A61" s="936" t="s">
        <v>840</v>
      </c>
      <c r="B61" s="387">
        <f>SUM(B55:B60)</f>
        <v>783027</v>
      </c>
    </row>
    <row r="62" spans="1:2" s="937" customFormat="1" ht="12.75">
      <c r="A62" s="936" t="s">
        <v>296</v>
      </c>
      <c r="B62" s="387">
        <v>1639846</v>
      </c>
    </row>
    <row r="63" spans="1:2" ht="12.75">
      <c r="A63" s="805"/>
      <c r="B63" s="385"/>
    </row>
    <row r="64" spans="1:2" ht="12.75">
      <c r="A64" s="936" t="s">
        <v>549</v>
      </c>
      <c r="B64" s="385"/>
    </row>
    <row r="65" spans="1:2" ht="12.75">
      <c r="A65" s="805" t="s">
        <v>657</v>
      </c>
      <c r="B65" s="385">
        <v>3142</v>
      </c>
    </row>
    <row r="66" spans="1:2" ht="12.75">
      <c r="A66" s="805" t="s">
        <v>659</v>
      </c>
      <c r="B66" s="385">
        <v>18256</v>
      </c>
    </row>
    <row r="67" spans="1:2" s="937" customFormat="1" ht="12.75">
      <c r="A67" s="936" t="s">
        <v>841</v>
      </c>
      <c r="B67" s="387">
        <f>SUM(B65:B66)</f>
        <v>21398</v>
      </c>
    </row>
    <row r="68" spans="1:2" s="937" customFormat="1" ht="12.75">
      <c r="A68" s="936" t="s">
        <v>297</v>
      </c>
      <c r="B68" s="387">
        <v>345581</v>
      </c>
    </row>
    <row r="69" spans="1:2" s="937" customFormat="1" ht="12.75">
      <c r="A69" s="936"/>
      <c r="B69" s="387"/>
    </row>
    <row r="70" spans="1:2" ht="12.75">
      <c r="A70" s="936" t="s">
        <v>761</v>
      </c>
      <c r="B70" s="385"/>
    </row>
    <row r="71" spans="1:2" ht="12.75">
      <c r="A71" s="805" t="s">
        <v>656</v>
      </c>
      <c r="B71" s="385">
        <v>1082</v>
      </c>
    </row>
    <row r="72" spans="1:2" ht="12.75">
      <c r="A72" s="805" t="s">
        <v>657</v>
      </c>
      <c r="B72" s="385">
        <v>694</v>
      </c>
    </row>
    <row r="73" spans="1:2" ht="12.75">
      <c r="A73" s="805" t="s">
        <v>659</v>
      </c>
      <c r="B73" s="385">
        <v>15969</v>
      </c>
    </row>
    <row r="74" spans="1:2" s="937" customFormat="1" ht="12.75">
      <c r="A74" s="936" t="s">
        <v>842</v>
      </c>
      <c r="B74" s="387">
        <f>SUM(B71:B73)</f>
        <v>17745</v>
      </c>
    </row>
    <row r="75" spans="1:2" s="937" customFormat="1" ht="12.75">
      <c r="A75" s="936" t="s">
        <v>298</v>
      </c>
      <c r="B75" s="387">
        <v>228735</v>
      </c>
    </row>
    <row r="76" spans="1:2" s="937" customFormat="1" ht="12.75">
      <c r="A76" s="936"/>
      <c r="B76" s="387"/>
    </row>
    <row r="77" spans="1:2" ht="12.75">
      <c r="A77" s="936" t="s">
        <v>550</v>
      </c>
      <c r="B77" s="385"/>
    </row>
    <row r="78" spans="1:2" ht="12.75">
      <c r="A78" s="805" t="s">
        <v>657</v>
      </c>
      <c r="B78" s="385">
        <v>617</v>
      </c>
    </row>
    <row r="79" spans="1:2" ht="12.75">
      <c r="A79" s="936" t="s">
        <v>843</v>
      </c>
      <c r="B79" s="387">
        <f>SUM(B78:B78)</f>
        <v>617</v>
      </c>
    </row>
    <row r="80" spans="1:2" s="937" customFormat="1" ht="12.75">
      <c r="A80" s="936" t="s">
        <v>299</v>
      </c>
      <c r="B80" s="387">
        <v>198514</v>
      </c>
    </row>
    <row r="81" spans="1:2" ht="12.75">
      <c r="A81" s="805"/>
      <c r="B81" s="385"/>
    </row>
    <row r="82" spans="1:2" ht="12.75">
      <c r="A82" s="936" t="s">
        <v>551</v>
      </c>
      <c r="B82" s="385"/>
    </row>
    <row r="83" spans="1:2" ht="12.75">
      <c r="A83" s="805" t="s">
        <v>844</v>
      </c>
      <c r="B83" s="385">
        <v>0</v>
      </c>
    </row>
    <row r="84" spans="1:2" s="937" customFormat="1" ht="12.75">
      <c r="A84" s="936" t="s">
        <v>845</v>
      </c>
      <c r="B84" s="387">
        <f>SUM(B83)</f>
        <v>0</v>
      </c>
    </row>
    <row r="85" spans="1:2" s="937" customFormat="1" ht="12.75">
      <c r="A85" s="936" t="s">
        <v>300</v>
      </c>
      <c r="B85" s="387">
        <v>42443</v>
      </c>
    </row>
    <row r="86" spans="1:2" ht="12.75">
      <c r="A86" s="805"/>
      <c r="B86" s="385"/>
    </row>
    <row r="87" spans="1:2" ht="12.75">
      <c r="A87" s="936" t="s">
        <v>763</v>
      </c>
      <c r="B87" s="385"/>
    </row>
    <row r="88" spans="1:2" ht="12.75">
      <c r="A88" s="805" t="s">
        <v>844</v>
      </c>
      <c r="B88" s="385">
        <v>0</v>
      </c>
    </row>
    <row r="89" spans="1:2" s="937" customFormat="1" ht="12.75">
      <c r="A89" s="936" t="s">
        <v>846</v>
      </c>
      <c r="B89" s="387">
        <f>SUM(B88)</f>
        <v>0</v>
      </c>
    </row>
    <row r="90" spans="1:2" s="937" customFormat="1" ht="12.75">
      <c r="A90" s="936" t="s">
        <v>301</v>
      </c>
      <c r="B90" s="387">
        <v>59312</v>
      </c>
    </row>
    <row r="91" spans="1:2" s="937" customFormat="1" ht="12.75">
      <c r="A91" s="936"/>
      <c r="B91" s="387"/>
    </row>
    <row r="92" spans="1:2" ht="12.75">
      <c r="A92" s="936" t="s">
        <v>764</v>
      </c>
      <c r="B92" s="385"/>
    </row>
    <row r="93" spans="1:2" ht="12.75">
      <c r="A93" s="805" t="s">
        <v>847</v>
      </c>
      <c r="B93" s="385">
        <v>347380</v>
      </c>
    </row>
    <row r="94" spans="1:2" ht="12.75">
      <c r="A94" s="805" t="s">
        <v>848</v>
      </c>
      <c r="B94" s="385">
        <v>12964</v>
      </c>
    </row>
    <row r="95" spans="1:2" ht="12.75">
      <c r="A95" s="805" t="s">
        <v>462</v>
      </c>
      <c r="B95" s="385"/>
    </row>
    <row r="96" spans="1:2" ht="12.75">
      <c r="A96" s="940" t="s">
        <v>849</v>
      </c>
      <c r="B96" s="385">
        <v>4980</v>
      </c>
    </row>
    <row r="97" spans="1:2" ht="12.75">
      <c r="A97" s="940" t="s">
        <v>850</v>
      </c>
      <c r="B97" s="385">
        <v>150</v>
      </c>
    </row>
    <row r="98" spans="1:2" ht="12.75">
      <c r="A98" s="940" t="s">
        <v>851</v>
      </c>
      <c r="B98" s="385">
        <v>14000</v>
      </c>
    </row>
    <row r="99" spans="1:2" ht="12.75">
      <c r="A99" s="940" t="s">
        <v>852</v>
      </c>
      <c r="B99" s="385">
        <v>8000</v>
      </c>
    </row>
    <row r="100" spans="1:2" ht="12.75">
      <c r="A100" s="940" t="s">
        <v>853</v>
      </c>
      <c r="B100" s="385">
        <v>18800</v>
      </c>
    </row>
    <row r="101" spans="1:2" ht="12.75">
      <c r="A101" s="940" t="s">
        <v>495</v>
      </c>
      <c r="B101" s="385">
        <v>220000</v>
      </c>
    </row>
    <row r="102" spans="1:2" ht="12.75">
      <c r="A102" s="805" t="s">
        <v>676</v>
      </c>
      <c r="B102" s="385"/>
    </row>
    <row r="103" spans="1:2" ht="12.75">
      <c r="A103" s="940" t="s">
        <v>854</v>
      </c>
      <c r="B103" s="385">
        <v>4515</v>
      </c>
    </row>
    <row r="104" spans="1:2" ht="12.75">
      <c r="A104" s="940" t="s">
        <v>112</v>
      </c>
      <c r="B104" s="385">
        <v>25000</v>
      </c>
    </row>
    <row r="105" spans="1:2" ht="12.75">
      <c r="A105" s="940" t="s">
        <v>946</v>
      </c>
      <c r="B105" s="385">
        <v>4680</v>
      </c>
    </row>
    <row r="106" spans="1:2" ht="12.75">
      <c r="A106" s="805" t="s">
        <v>855</v>
      </c>
      <c r="B106" s="385"/>
    </row>
    <row r="107" spans="1:2" ht="12.75">
      <c r="A107" s="940" t="s">
        <v>856</v>
      </c>
      <c r="B107" s="385">
        <v>10000</v>
      </c>
    </row>
    <row r="108" spans="1:2" ht="12.75">
      <c r="A108" s="805" t="s">
        <v>937</v>
      </c>
      <c r="B108" s="385"/>
    </row>
    <row r="109" spans="1:2" ht="12.75">
      <c r="A109" s="940" t="s">
        <v>857</v>
      </c>
      <c r="B109" s="385">
        <v>4000</v>
      </c>
    </row>
    <row r="110" spans="1:2" ht="12.75">
      <c r="A110" s="940" t="s">
        <v>858</v>
      </c>
      <c r="B110" s="385">
        <v>3500</v>
      </c>
    </row>
    <row r="111" spans="1:2" ht="12.75">
      <c r="A111" s="940" t="s">
        <v>859</v>
      </c>
      <c r="B111" s="385">
        <v>5500</v>
      </c>
    </row>
    <row r="112" spans="1:2" ht="12.75">
      <c r="A112" s="805" t="s">
        <v>860</v>
      </c>
      <c r="B112" s="385">
        <v>220052</v>
      </c>
    </row>
    <row r="113" spans="1:2" s="937" customFormat="1" ht="12.75">
      <c r="A113" s="936" t="s">
        <v>861</v>
      </c>
      <c r="B113" s="387">
        <f>SUM(B93:B112)</f>
        <v>903521</v>
      </c>
    </row>
    <row r="114" spans="1:2" s="937" customFormat="1" ht="12.75">
      <c r="A114" s="936" t="s">
        <v>918</v>
      </c>
      <c r="B114" s="387">
        <v>7989704</v>
      </c>
    </row>
    <row r="115" spans="1:2" s="937" customFormat="1" ht="12.75">
      <c r="A115" s="936"/>
      <c r="B115" s="387"/>
    </row>
    <row r="116" spans="1:2" ht="12.75">
      <c r="A116" s="936" t="s">
        <v>862</v>
      </c>
      <c r="B116" s="387">
        <f>SUM(B36,B46,B61,B67,B74,B79,B84,B89,B113)</f>
        <v>4004936</v>
      </c>
    </row>
    <row r="117" spans="1:2" ht="12.75">
      <c r="A117" s="936" t="s">
        <v>803</v>
      </c>
      <c r="B117" s="387">
        <f>SUM(B37,B47,B62,B68,B75,B80,B85,B90,B114)</f>
        <v>16770369</v>
      </c>
    </row>
  </sheetData>
  <mergeCells count="3">
    <mergeCell ref="A3:B3"/>
    <mergeCell ref="A4:B4"/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Roman,Normál"&amp;P&amp;R&amp;"Times New Roman,Normál"15.számú melléklet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HH30"/>
  <sheetViews>
    <sheetView workbookViewId="0" topLeftCell="A10">
      <selection activeCell="B17" sqref="B17"/>
    </sheetView>
  </sheetViews>
  <sheetFormatPr defaultColWidth="9.140625" defaultRowHeight="12.75"/>
  <cols>
    <col min="1" max="1" width="4.7109375" style="1108" customWidth="1"/>
    <col min="2" max="2" width="30.7109375" style="1108" customWidth="1"/>
    <col min="3" max="3" width="9.28125" style="1108" customWidth="1"/>
    <col min="4" max="4" width="9.28125" style="1108" bestFit="1" customWidth="1"/>
    <col min="5" max="5" width="8.7109375" style="1108" customWidth="1"/>
    <col min="6" max="12" width="9.140625" style="1108" customWidth="1"/>
    <col min="13" max="13" width="9.28125" style="1108" customWidth="1"/>
    <col min="14" max="14" width="9.140625" style="1108" customWidth="1"/>
    <col min="15" max="216" width="9.140625" style="1197" customWidth="1"/>
    <col min="217" max="16384" width="9.140625" style="1108" customWidth="1"/>
  </cols>
  <sheetData>
    <row r="1" spans="15:216" s="1105" customFormat="1" ht="12.75">
      <c r="O1" s="1106"/>
      <c r="P1" s="1106"/>
      <c r="Q1" s="1106"/>
      <c r="R1" s="1106"/>
      <c r="S1" s="1106"/>
      <c r="T1" s="1106"/>
      <c r="U1" s="1106"/>
      <c r="V1" s="1106"/>
      <c r="W1" s="1106"/>
      <c r="X1" s="1106"/>
      <c r="Y1" s="1106"/>
      <c r="Z1" s="1106"/>
      <c r="AA1" s="1106"/>
      <c r="AB1" s="1106"/>
      <c r="AC1" s="1106"/>
      <c r="AD1" s="1106"/>
      <c r="AE1" s="1106"/>
      <c r="AF1" s="1106"/>
      <c r="AG1" s="1106"/>
      <c r="AH1" s="1106"/>
      <c r="AI1" s="1106"/>
      <c r="AJ1" s="1106"/>
      <c r="AK1" s="1106"/>
      <c r="AL1" s="1106"/>
      <c r="AM1" s="1106"/>
      <c r="AN1" s="1106"/>
      <c r="AO1" s="1106"/>
      <c r="AP1" s="1106"/>
      <c r="AQ1" s="1106"/>
      <c r="AR1" s="1106"/>
      <c r="AS1" s="1106"/>
      <c r="AT1" s="1106"/>
      <c r="AU1" s="1106"/>
      <c r="AV1" s="1106"/>
      <c r="AW1" s="1106"/>
      <c r="AX1" s="1106"/>
      <c r="AY1" s="1106"/>
      <c r="AZ1" s="1106"/>
      <c r="BA1" s="1106"/>
      <c r="BB1" s="1106"/>
      <c r="BC1" s="1106"/>
      <c r="BD1" s="1106"/>
      <c r="BE1" s="1106"/>
      <c r="BF1" s="1106"/>
      <c r="BG1" s="1106"/>
      <c r="BH1" s="1106"/>
      <c r="BI1" s="1106"/>
      <c r="BJ1" s="1106"/>
      <c r="BK1" s="1106"/>
      <c r="BL1" s="1106"/>
      <c r="BM1" s="1106"/>
      <c r="BN1" s="1106"/>
      <c r="BO1" s="1106"/>
      <c r="BP1" s="1106"/>
      <c r="BQ1" s="1106"/>
      <c r="BR1" s="1106"/>
      <c r="BS1" s="1106"/>
      <c r="BT1" s="1106"/>
      <c r="BU1" s="1106"/>
      <c r="BV1" s="1106"/>
      <c r="BW1" s="1106"/>
      <c r="BX1" s="1106"/>
      <c r="BY1" s="1106"/>
      <c r="BZ1" s="1106"/>
      <c r="CA1" s="1106"/>
      <c r="CB1" s="1106"/>
      <c r="CC1" s="1106"/>
      <c r="CD1" s="1106"/>
      <c r="CE1" s="1106"/>
      <c r="CF1" s="1106"/>
      <c r="CG1" s="1106"/>
      <c r="CH1" s="1106"/>
      <c r="CI1" s="1106"/>
      <c r="CJ1" s="1106"/>
      <c r="CK1" s="1106"/>
      <c r="CL1" s="1106"/>
      <c r="CM1" s="1106"/>
      <c r="CN1" s="1106"/>
      <c r="CO1" s="1106"/>
      <c r="CP1" s="1106"/>
      <c r="CQ1" s="1106"/>
      <c r="CR1" s="1106"/>
      <c r="CS1" s="1106"/>
      <c r="CT1" s="1106"/>
      <c r="CU1" s="1106"/>
      <c r="CV1" s="1106"/>
      <c r="CW1" s="1106"/>
      <c r="CX1" s="1106"/>
      <c r="CY1" s="1106"/>
      <c r="CZ1" s="1106"/>
      <c r="DA1" s="1106"/>
      <c r="DB1" s="1106"/>
      <c r="DC1" s="1106"/>
      <c r="DD1" s="1106"/>
      <c r="DE1" s="1106"/>
      <c r="DF1" s="1106"/>
      <c r="DG1" s="1106"/>
      <c r="DH1" s="1106"/>
      <c r="DI1" s="1106"/>
      <c r="DJ1" s="1106"/>
      <c r="DK1" s="1106"/>
      <c r="DL1" s="1106"/>
      <c r="DM1" s="1106"/>
      <c r="DN1" s="1106"/>
      <c r="DO1" s="1106"/>
      <c r="DP1" s="1106"/>
      <c r="DQ1" s="1106"/>
      <c r="DR1" s="1106"/>
      <c r="DS1" s="1106"/>
      <c r="DT1" s="1106"/>
      <c r="DU1" s="1106"/>
      <c r="DV1" s="1106"/>
      <c r="DW1" s="1106"/>
      <c r="DX1" s="1106"/>
      <c r="DY1" s="1106"/>
      <c r="DZ1" s="1106"/>
      <c r="EA1" s="1106"/>
      <c r="EB1" s="1106"/>
      <c r="EC1" s="1106"/>
      <c r="ED1" s="1106"/>
      <c r="EE1" s="1106"/>
      <c r="EF1" s="1106"/>
      <c r="EG1" s="1106"/>
      <c r="EH1" s="1106"/>
      <c r="EI1" s="1106"/>
      <c r="EJ1" s="1106"/>
      <c r="EK1" s="1106"/>
      <c r="EL1" s="1106"/>
      <c r="EM1" s="1106"/>
      <c r="EN1" s="1106"/>
      <c r="EO1" s="1106"/>
      <c r="EP1" s="1106"/>
      <c r="EQ1" s="1106"/>
      <c r="ER1" s="1106"/>
      <c r="ES1" s="1106"/>
      <c r="ET1" s="1106"/>
      <c r="EU1" s="1106"/>
      <c r="EV1" s="1106"/>
      <c r="EW1" s="1106"/>
      <c r="EX1" s="1106"/>
      <c r="EY1" s="1106"/>
      <c r="EZ1" s="1106"/>
      <c r="FA1" s="1106"/>
      <c r="FB1" s="1106"/>
      <c r="FC1" s="1106"/>
      <c r="FD1" s="1106"/>
      <c r="FE1" s="1106"/>
      <c r="FF1" s="1106"/>
      <c r="FG1" s="1106"/>
      <c r="FH1" s="1106"/>
      <c r="FI1" s="1106"/>
      <c r="FJ1" s="1106"/>
      <c r="FK1" s="1106"/>
      <c r="FL1" s="1106"/>
      <c r="FM1" s="1106"/>
      <c r="FN1" s="1106"/>
      <c r="FO1" s="1106"/>
      <c r="FP1" s="1106"/>
      <c r="FQ1" s="1106"/>
      <c r="FR1" s="1106"/>
      <c r="FS1" s="1106"/>
      <c r="FT1" s="1106"/>
      <c r="FU1" s="1106"/>
      <c r="FV1" s="1106"/>
      <c r="FW1" s="1106"/>
      <c r="FX1" s="1106"/>
      <c r="FY1" s="1106"/>
      <c r="FZ1" s="1106"/>
      <c r="GA1" s="1106"/>
      <c r="GB1" s="1106"/>
      <c r="GC1" s="1106"/>
      <c r="GD1" s="1106"/>
      <c r="GE1" s="1106"/>
      <c r="GF1" s="1106"/>
      <c r="GG1" s="1106"/>
      <c r="GH1" s="1106"/>
      <c r="GI1" s="1106"/>
      <c r="GJ1" s="1106"/>
      <c r="GK1" s="1106"/>
      <c r="GL1" s="1106"/>
      <c r="GM1" s="1106"/>
      <c r="GN1" s="1106"/>
      <c r="GO1" s="1106"/>
      <c r="GP1" s="1106"/>
      <c r="GQ1" s="1106"/>
      <c r="GR1" s="1106"/>
      <c r="GS1" s="1106"/>
      <c r="GT1" s="1106"/>
      <c r="GU1" s="1106"/>
      <c r="GV1" s="1106"/>
      <c r="GW1" s="1106"/>
      <c r="GX1" s="1106"/>
      <c r="GY1" s="1106"/>
      <c r="GZ1" s="1106"/>
      <c r="HA1" s="1106"/>
      <c r="HB1" s="1106"/>
      <c r="HC1" s="1106"/>
      <c r="HD1" s="1106"/>
      <c r="HE1" s="1106"/>
      <c r="HF1" s="1106"/>
      <c r="HG1" s="1106"/>
      <c r="HH1" s="1106"/>
    </row>
    <row r="2" spans="15:216" s="1105" customFormat="1" ht="12.75">
      <c r="O2" s="1106"/>
      <c r="P2" s="1106"/>
      <c r="Q2" s="1106"/>
      <c r="R2" s="1106"/>
      <c r="S2" s="1106"/>
      <c r="T2" s="1106"/>
      <c r="U2" s="1106"/>
      <c r="V2" s="1106"/>
      <c r="W2" s="1106"/>
      <c r="X2" s="1106"/>
      <c r="Y2" s="1106"/>
      <c r="Z2" s="1106"/>
      <c r="AA2" s="1106"/>
      <c r="AB2" s="1106"/>
      <c r="AC2" s="1106"/>
      <c r="AD2" s="1106"/>
      <c r="AE2" s="1106"/>
      <c r="AF2" s="1106"/>
      <c r="AG2" s="1106"/>
      <c r="AH2" s="1106"/>
      <c r="AI2" s="1106"/>
      <c r="AJ2" s="1106"/>
      <c r="AK2" s="1106"/>
      <c r="AL2" s="1106"/>
      <c r="AM2" s="1106"/>
      <c r="AN2" s="1106"/>
      <c r="AO2" s="1106"/>
      <c r="AP2" s="1106"/>
      <c r="AQ2" s="1106"/>
      <c r="AR2" s="1106"/>
      <c r="AS2" s="1106"/>
      <c r="AT2" s="1106"/>
      <c r="AU2" s="1106"/>
      <c r="AV2" s="1106"/>
      <c r="AW2" s="1106"/>
      <c r="AX2" s="1106"/>
      <c r="AY2" s="1106"/>
      <c r="AZ2" s="1106"/>
      <c r="BA2" s="1106"/>
      <c r="BB2" s="1106"/>
      <c r="BC2" s="1106"/>
      <c r="BD2" s="1106"/>
      <c r="BE2" s="1106"/>
      <c r="BF2" s="1106"/>
      <c r="BG2" s="1106"/>
      <c r="BH2" s="1106"/>
      <c r="BI2" s="1106"/>
      <c r="BJ2" s="1106"/>
      <c r="BK2" s="1106"/>
      <c r="BL2" s="1106"/>
      <c r="BM2" s="1106"/>
      <c r="BN2" s="1106"/>
      <c r="BO2" s="1106"/>
      <c r="BP2" s="1106"/>
      <c r="BQ2" s="1106"/>
      <c r="BR2" s="1106"/>
      <c r="BS2" s="1106"/>
      <c r="BT2" s="1106"/>
      <c r="BU2" s="1106"/>
      <c r="BV2" s="1106"/>
      <c r="BW2" s="1106"/>
      <c r="BX2" s="1106"/>
      <c r="BY2" s="1106"/>
      <c r="BZ2" s="1106"/>
      <c r="CA2" s="1106"/>
      <c r="CB2" s="1106"/>
      <c r="CC2" s="1106"/>
      <c r="CD2" s="1106"/>
      <c r="CE2" s="1106"/>
      <c r="CF2" s="1106"/>
      <c r="CG2" s="1106"/>
      <c r="CH2" s="1106"/>
      <c r="CI2" s="1106"/>
      <c r="CJ2" s="1106"/>
      <c r="CK2" s="1106"/>
      <c r="CL2" s="1106"/>
      <c r="CM2" s="1106"/>
      <c r="CN2" s="1106"/>
      <c r="CO2" s="1106"/>
      <c r="CP2" s="1106"/>
      <c r="CQ2" s="1106"/>
      <c r="CR2" s="1106"/>
      <c r="CS2" s="1106"/>
      <c r="CT2" s="1106"/>
      <c r="CU2" s="1106"/>
      <c r="CV2" s="1106"/>
      <c r="CW2" s="1106"/>
      <c r="CX2" s="1106"/>
      <c r="CY2" s="1106"/>
      <c r="CZ2" s="1106"/>
      <c r="DA2" s="1106"/>
      <c r="DB2" s="1106"/>
      <c r="DC2" s="1106"/>
      <c r="DD2" s="1106"/>
      <c r="DE2" s="1106"/>
      <c r="DF2" s="1106"/>
      <c r="DG2" s="1106"/>
      <c r="DH2" s="1106"/>
      <c r="DI2" s="1106"/>
      <c r="DJ2" s="1106"/>
      <c r="DK2" s="1106"/>
      <c r="DL2" s="1106"/>
      <c r="DM2" s="1106"/>
      <c r="DN2" s="1106"/>
      <c r="DO2" s="1106"/>
      <c r="DP2" s="1106"/>
      <c r="DQ2" s="1106"/>
      <c r="DR2" s="1106"/>
      <c r="DS2" s="1106"/>
      <c r="DT2" s="1106"/>
      <c r="DU2" s="1106"/>
      <c r="DV2" s="1106"/>
      <c r="DW2" s="1106"/>
      <c r="DX2" s="1106"/>
      <c r="DY2" s="1106"/>
      <c r="DZ2" s="1106"/>
      <c r="EA2" s="1106"/>
      <c r="EB2" s="1106"/>
      <c r="EC2" s="1106"/>
      <c r="ED2" s="1106"/>
      <c r="EE2" s="1106"/>
      <c r="EF2" s="1106"/>
      <c r="EG2" s="1106"/>
      <c r="EH2" s="1106"/>
      <c r="EI2" s="1106"/>
      <c r="EJ2" s="1106"/>
      <c r="EK2" s="1106"/>
      <c r="EL2" s="1106"/>
      <c r="EM2" s="1106"/>
      <c r="EN2" s="1106"/>
      <c r="EO2" s="1106"/>
      <c r="EP2" s="1106"/>
      <c r="EQ2" s="1106"/>
      <c r="ER2" s="1106"/>
      <c r="ES2" s="1106"/>
      <c r="ET2" s="1106"/>
      <c r="EU2" s="1106"/>
      <c r="EV2" s="1106"/>
      <c r="EW2" s="1106"/>
      <c r="EX2" s="1106"/>
      <c r="EY2" s="1106"/>
      <c r="EZ2" s="1106"/>
      <c r="FA2" s="1106"/>
      <c r="FB2" s="1106"/>
      <c r="FC2" s="1106"/>
      <c r="FD2" s="1106"/>
      <c r="FE2" s="1106"/>
      <c r="FF2" s="1106"/>
      <c r="FG2" s="1106"/>
      <c r="FH2" s="1106"/>
      <c r="FI2" s="1106"/>
      <c r="FJ2" s="1106"/>
      <c r="FK2" s="1106"/>
      <c r="FL2" s="1106"/>
      <c r="FM2" s="1106"/>
      <c r="FN2" s="1106"/>
      <c r="FO2" s="1106"/>
      <c r="FP2" s="1106"/>
      <c r="FQ2" s="1106"/>
      <c r="FR2" s="1106"/>
      <c r="FS2" s="1106"/>
      <c r="FT2" s="1106"/>
      <c r="FU2" s="1106"/>
      <c r="FV2" s="1106"/>
      <c r="FW2" s="1106"/>
      <c r="FX2" s="1106"/>
      <c r="FY2" s="1106"/>
      <c r="FZ2" s="1106"/>
      <c r="GA2" s="1106"/>
      <c r="GB2" s="1106"/>
      <c r="GC2" s="1106"/>
      <c r="GD2" s="1106"/>
      <c r="GE2" s="1106"/>
      <c r="GF2" s="1106"/>
      <c r="GG2" s="1106"/>
      <c r="GH2" s="1106"/>
      <c r="GI2" s="1106"/>
      <c r="GJ2" s="1106"/>
      <c r="GK2" s="1106"/>
      <c r="GL2" s="1106"/>
      <c r="GM2" s="1106"/>
      <c r="GN2" s="1106"/>
      <c r="GO2" s="1106"/>
      <c r="GP2" s="1106"/>
      <c r="GQ2" s="1106"/>
      <c r="GR2" s="1106"/>
      <c r="GS2" s="1106"/>
      <c r="GT2" s="1106"/>
      <c r="GU2" s="1106"/>
      <c r="GV2" s="1106"/>
      <c r="GW2" s="1106"/>
      <c r="GX2" s="1106"/>
      <c r="GY2" s="1106"/>
      <c r="GZ2" s="1106"/>
      <c r="HA2" s="1106"/>
      <c r="HB2" s="1106"/>
      <c r="HC2" s="1106"/>
      <c r="HD2" s="1106"/>
      <c r="HE2" s="1106"/>
      <c r="HF2" s="1106"/>
      <c r="HG2" s="1106"/>
      <c r="HH2" s="1106"/>
    </row>
    <row r="3" spans="1:216" s="1105" customFormat="1" ht="15.75">
      <c r="A3" s="1406" t="s">
        <v>933</v>
      </c>
      <c r="B3" s="1406"/>
      <c r="C3" s="1406"/>
      <c r="D3" s="1406"/>
      <c r="E3" s="1406"/>
      <c r="F3" s="1406"/>
      <c r="G3" s="1406"/>
      <c r="H3" s="1406"/>
      <c r="I3" s="1406"/>
      <c r="J3" s="1406"/>
      <c r="K3" s="1406"/>
      <c r="L3" s="1406"/>
      <c r="M3" s="1406"/>
      <c r="N3" s="1406"/>
      <c r="O3" s="1106"/>
      <c r="P3" s="1106"/>
      <c r="Q3" s="1106"/>
      <c r="R3" s="1106"/>
      <c r="S3" s="1106"/>
      <c r="T3" s="1106"/>
      <c r="U3" s="1106"/>
      <c r="V3" s="1106"/>
      <c r="W3" s="1106"/>
      <c r="X3" s="1106"/>
      <c r="Y3" s="1106"/>
      <c r="Z3" s="1106"/>
      <c r="AA3" s="1106"/>
      <c r="AB3" s="1106"/>
      <c r="AC3" s="1106"/>
      <c r="AD3" s="1106"/>
      <c r="AE3" s="1106"/>
      <c r="AF3" s="1106"/>
      <c r="AG3" s="1106"/>
      <c r="AH3" s="1106"/>
      <c r="AI3" s="1106"/>
      <c r="AJ3" s="1106"/>
      <c r="AK3" s="1106"/>
      <c r="AL3" s="1106"/>
      <c r="AM3" s="1106"/>
      <c r="AN3" s="1106"/>
      <c r="AO3" s="1106"/>
      <c r="AP3" s="1106"/>
      <c r="AQ3" s="1106"/>
      <c r="AR3" s="1106"/>
      <c r="AS3" s="1106"/>
      <c r="AT3" s="1106"/>
      <c r="AU3" s="1106"/>
      <c r="AV3" s="1106"/>
      <c r="AW3" s="1106"/>
      <c r="AX3" s="1106"/>
      <c r="AY3" s="1106"/>
      <c r="AZ3" s="1106"/>
      <c r="BA3" s="1106"/>
      <c r="BB3" s="1106"/>
      <c r="BC3" s="1106"/>
      <c r="BD3" s="1106"/>
      <c r="BE3" s="1106"/>
      <c r="BF3" s="1106"/>
      <c r="BG3" s="1106"/>
      <c r="BH3" s="1106"/>
      <c r="BI3" s="1106"/>
      <c r="BJ3" s="1106"/>
      <c r="BK3" s="1106"/>
      <c r="BL3" s="1106"/>
      <c r="BM3" s="1106"/>
      <c r="BN3" s="1106"/>
      <c r="BO3" s="1106"/>
      <c r="BP3" s="1106"/>
      <c r="BQ3" s="1106"/>
      <c r="BR3" s="1106"/>
      <c r="BS3" s="1106"/>
      <c r="BT3" s="1106"/>
      <c r="BU3" s="1106"/>
      <c r="BV3" s="1106"/>
      <c r="BW3" s="1106"/>
      <c r="BX3" s="1106"/>
      <c r="BY3" s="1106"/>
      <c r="BZ3" s="1106"/>
      <c r="CA3" s="1106"/>
      <c r="CB3" s="1106"/>
      <c r="CC3" s="1106"/>
      <c r="CD3" s="1106"/>
      <c r="CE3" s="1106"/>
      <c r="CF3" s="1106"/>
      <c r="CG3" s="1106"/>
      <c r="CH3" s="1106"/>
      <c r="CI3" s="1106"/>
      <c r="CJ3" s="1106"/>
      <c r="CK3" s="1106"/>
      <c r="CL3" s="1106"/>
      <c r="CM3" s="1106"/>
      <c r="CN3" s="1106"/>
      <c r="CO3" s="1106"/>
      <c r="CP3" s="1106"/>
      <c r="CQ3" s="1106"/>
      <c r="CR3" s="1106"/>
      <c r="CS3" s="1106"/>
      <c r="CT3" s="1106"/>
      <c r="CU3" s="1106"/>
      <c r="CV3" s="1106"/>
      <c r="CW3" s="1106"/>
      <c r="CX3" s="1106"/>
      <c r="CY3" s="1106"/>
      <c r="CZ3" s="1106"/>
      <c r="DA3" s="1106"/>
      <c r="DB3" s="1106"/>
      <c r="DC3" s="1106"/>
      <c r="DD3" s="1106"/>
      <c r="DE3" s="1106"/>
      <c r="DF3" s="1106"/>
      <c r="DG3" s="1106"/>
      <c r="DH3" s="1106"/>
      <c r="DI3" s="1106"/>
      <c r="DJ3" s="1106"/>
      <c r="DK3" s="1106"/>
      <c r="DL3" s="1106"/>
      <c r="DM3" s="1106"/>
      <c r="DN3" s="1106"/>
      <c r="DO3" s="1106"/>
      <c r="DP3" s="1106"/>
      <c r="DQ3" s="1106"/>
      <c r="DR3" s="1106"/>
      <c r="DS3" s="1106"/>
      <c r="DT3" s="1106"/>
      <c r="DU3" s="1106"/>
      <c r="DV3" s="1106"/>
      <c r="DW3" s="1106"/>
      <c r="DX3" s="1106"/>
      <c r="DY3" s="1106"/>
      <c r="DZ3" s="1106"/>
      <c r="EA3" s="1106"/>
      <c r="EB3" s="1106"/>
      <c r="EC3" s="1106"/>
      <c r="ED3" s="1106"/>
      <c r="EE3" s="1106"/>
      <c r="EF3" s="1106"/>
      <c r="EG3" s="1106"/>
      <c r="EH3" s="1106"/>
      <c r="EI3" s="1106"/>
      <c r="EJ3" s="1106"/>
      <c r="EK3" s="1106"/>
      <c r="EL3" s="1106"/>
      <c r="EM3" s="1106"/>
      <c r="EN3" s="1106"/>
      <c r="EO3" s="1106"/>
      <c r="EP3" s="1106"/>
      <c r="EQ3" s="1106"/>
      <c r="ER3" s="1106"/>
      <c r="ES3" s="1106"/>
      <c r="ET3" s="1106"/>
      <c r="EU3" s="1106"/>
      <c r="EV3" s="1106"/>
      <c r="EW3" s="1106"/>
      <c r="EX3" s="1106"/>
      <c r="EY3" s="1106"/>
      <c r="EZ3" s="1106"/>
      <c r="FA3" s="1106"/>
      <c r="FB3" s="1106"/>
      <c r="FC3" s="1106"/>
      <c r="FD3" s="1106"/>
      <c r="FE3" s="1106"/>
      <c r="FF3" s="1106"/>
      <c r="FG3" s="1106"/>
      <c r="FH3" s="1106"/>
      <c r="FI3" s="1106"/>
      <c r="FJ3" s="1106"/>
      <c r="FK3" s="1106"/>
      <c r="FL3" s="1106"/>
      <c r="FM3" s="1106"/>
      <c r="FN3" s="1106"/>
      <c r="FO3" s="1106"/>
      <c r="FP3" s="1106"/>
      <c r="FQ3" s="1106"/>
      <c r="FR3" s="1106"/>
      <c r="FS3" s="1106"/>
      <c r="FT3" s="1106"/>
      <c r="FU3" s="1106"/>
      <c r="FV3" s="1106"/>
      <c r="FW3" s="1106"/>
      <c r="FX3" s="1106"/>
      <c r="FY3" s="1106"/>
      <c r="FZ3" s="1106"/>
      <c r="GA3" s="1106"/>
      <c r="GB3" s="1106"/>
      <c r="GC3" s="1106"/>
      <c r="GD3" s="1106"/>
      <c r="GE3" s="1106"/>
      <c r="GF3" s="1106"/>
      <c r="GG3" s="1106"/>
      <c r="GH3" s="1106"/>
      <c r="GI3" s="1106"/>
      <c r="GJ3" s="1106"/>
      <c r="GK3" s="1106"/>
      <c r="GL3" s="1106"/>
      <c r="GM3" s="1106"/>
      <c r="GN3" s="1106"/>
      <c r="GO3" s="1106"/>
      <c r="GP3" s="1106"/>
      <c r="GQ3" s="1106"/>
      <c r="GR3" s="1106"/>
      <c r="GS3" s="1106"/>
      <c r="GT3" s="1106"/>
      <c r="GU3" s="1106"/>
      <c r="GV3" s="1106"/>
      <c r="GW3" s="1106"/>
      <c r="GX3" s="1106"/>
      <c r="GY3" s="1106"/>
      <c r="GZ3" s="1106"/>
      <c r="HA3" s="1106"/>
      <c r="HB3" s="1106"/>
      <c r="HC3" s="1106"/>
      <c r="HD3" s="1106"/>
      <c r="HE3" s="1106"/>
      <c r="HF3" s="1106"/>
      <c r="HG3" s="1106"/>
      <c r="HH3" s="1106"/>
    </row>
    <row r="4" spans="1:216" s="1105" customFormat="1" ht="15.75">
      <c r="A4" s="1406" t="s">
        <v>934</v>
      </c>
      <c r="B4" s="1406"/>
      <c r="C4" s="1406"/>
      <c r="D4" s="1406"/>
      <c r="E4" s="1406"/>
      <c r="F4" s="1406"/>
      <c r="G4" s="1406"/>
      <c r="H4" s="1406"/>
      <c r="I4" s="1406"/>
      <c r="J4" s="1406"/>
      <c r="K4" s="1406"/>
      <c r="L4" s="1406"/>
      <c r="M4" s="1406"/>
      <c r="N4" s="1406"/>
      <c r="O4" s="1106"/>
      <c r="P4" s="1106"/>
      <c r="Q4" s="1106"/>
      <c r="R4" s="1106"/>
      <c r="S4" s="1106"/>
      <c r="T4" s="1106"/>
      <c r="U4" s="1106"/>
      <c r="V4" s="1106"/>
      <c r="W4" s="1106"/>
      <c r="X4" s="1106"/>
      <c r="Y4" s="1106"/>
      <c r="Z4" s="1106"/>
      <c r="AA4" s="1106"/>
      <c r="AB4" s="1106"/>
      <c r="AC4" s="1106"/>
      <c r="AD4" s="1106"/>
      <c r="AE4" s="1106"/>
      <c r="AF4" s="1106"/>
      <c r="AG4" s="1106"/>
      <c r="AH4" s="1106"/>
      <c r="AI4" s="1106"/>
      <c r="AJ4" s="1106"/>
      <c r="AK4" s="1106"/>
      <c r="AL4" s="1106"/>
      <c r="AM4" s="1106"/>
      <c r="AN4" s="1106"/>
      <c r="AO4" s="1106"/>
      <c r="AP4" s="1106"/>
      <c r="AQ4" s="1106"/>
      <c r="AR4" s="1106"/>
      <c r="AS4" s="1106"/>
      <c r="AT4" s="1106"/>
      <c r="AU4" s="1106"/>
      <c r="AV4" s="1106"/>
      <c r="AW4" s="1106"/>
      <c r="AX4" s="1106"/>
      <c r="AY4" s="1106"/>
      <c r="AZ4" s="1106"/>
      <c r="BA4" s="1106"/>
      <c r="BB4" s="1106"/>
      <c r="BC4" s="1106"/>
      <c r="BD4" s="1106"/>
      <c r="BE4" s="1106"/>
      <c r="BF4" s="1106"/>
      <c r="BG4" s="1106"/>
      <c r="BH4" s="1106"/>
      <c r="BI4" s="1106"/>
      <c r="BJ4" s="1106"/>
      <c r="BK4" s="1106"/>
      <c r="BL4" s="1106"/>
      <c r="BM4" s="1106"/>
      <c r="BN4" s="1106"/>
      <c r="BO4" s="1106"/>
      <c r="BP4" s="1106"/>
      <c r="BQ4" s="1106"/>
      <c r="BR4" s="1106"/>
      <c r="BS4" s="1106"/>
      <c r="BT4" s="1106"/>
      <c r="BU4" s="1106"/>
      <c r="BV4" s="1106"/>
      <c r="BW4" s="1106"/>
      <c r="BX4" s="1106"/>
      <c r="BY4" s="1106"/>
      <c r="BZ4" s="1106"/>
      <c r="CA4" s="1106"/>
      <c r="CB4" s="1106"/>
      <c r="CC4" s="1106"/>
      <c r="CD4" s="1106"/>
      <c r="CE4" s="1106"/>
      <c r="CF4" s="1106"/>
      <c r="CG4" s="1106"/>
      <c r="CH4" s="1106"/>
      <c r="CI4" s="1106"/>
      <c r="CJ4" s="1106"/>
      <c r="CK4" s="1106"/>
      <c r="CL4" s="1106"/>
      <c r="CM4" s="1106"/>
      <c r="CN4" s="1106"/>
      <c r="CO4" s="1106"/>
      <c r="CP4" s="1106"/>
      <c r="CQ4" s="1106"/>
      <c r="CR4" s="1106"/>
      <c r="CS4" s="1106"/>
      <c r="CT4" s="1106"/>
      <c r="CU4" s="1106"/>
      <c r="CV4" s="1106"/>
      <c r="CW4" s="1106"/>
      <c r="CX4" s="1106"/>
      <c r="CY4" s="1106"/>
      <c r="CZ4" s="1106"/>
      <c r="DA4" s="1106"/>
      <c r="DB4" s="1106"/>
      <c r="DC4" s="1106"/>
      <c r="DD4" s="1106"/>
      <c r="DE4" s="1106"/>
      <c r="DF4" s="1106"/>
      <c r="DG4" s="1106"/>
      <c r="DH4" s="1106"/>
      <c r="DI4" s="1106"/>
      <c r="DJ4" s="1106"/>
      <c r="DK4" s="1106"/>
      <c r="DL4" s="1106"/>
      <c r="DM4" s="1106"/>
      <c r="DN4" s="1106"/>
      <c r="DO4" s="1106"/>
      <c r="DP4" s="1106"/>
      <c r="DQ4" s="1106"/>
      <c r="DR4" s="1106"/>
      <c r="DS4" s="1106"/>
      <c r="DT4" s="1106"/>
      <c r="DU4" s="1106"/>
      <c r="DV4" s="1106"/>
      <c r="DW4" s="1106"/>
      <c r="DX4" s="1106"/>
      <c r="DY4" s="1106"/>
      <c r="DZ4" s="1106"/>
      <c r="EA4" s="1106"/>
      <c r="EB4" s="1106"/>
      <c r="EC4" s="1106"/>
      <c r="ED4" s="1106"/>
      <c r="EE4" s="1106"/>
      <c r="EF4" s="1106"/>
      <c r="EG4" s="1106"/>
      <c r="EH4" s="1106"/>
      <c r="EI4" s="1106"/>
      <c r="EJ4" s="1106"/>
      <c r="EK4" s="1106"/>
      <c r="EL4" s="1106"/>
      <c r="EM4" s="1106"/>
      <c r="EN4" s="1106"/>
      <c r="EO4" s="1106"/>
      <c r="EP4" s="1106"/>
      <c r="EQ4" s="1106"/>
      <c r="ER4" s="1106"/>
      <c r="ES4" s="1106"/>
      <c r="ET4" s="1106"/>
      <c r="EU4" s="1106"/>
      <c r="EV4" s="1106"/>
      <c r="EW4" s="1106"/>
      <c r="EX4" s="1106"/>
      <c r="EY4" s="1106"/>
      <c r="EZ4" s="1106"/>
      <c r="FA4" s="1106"/>
      <c r="FB4" s="1106"/>
      <c r="FC4" s="1106"/>
      <c r="FD4" s="1106"/>
      <c r="FE4" s="1106"/>
      <c r="FF4" s="1106"/>
      <c r="FG4" s="1106"/>
      <c r="FH4" s="1106"/>
      <c r="FI4" s="1106"/>
      <c r="FJ4" s="1106"/>
      <c r="FK4" s="1106"/>
      <c r="FL4" s="1106"/>
      <c r="FM4" s="1106"/>
      <c r="FN4" s="1106"/>
      <c r="FO4" s="1106"/>
      <c r="FP4" s="1106"/>
      <c r="FQ4" s="1106"/>
      <c r="FR4" s="1106"/>
      <c r="FS4" s="1106"/>
      <c r="FT4" s="1106"/>
      <c r="FU4" s="1106"/>
      <c r="FV4" s="1106"/>
      <c r="FW4" s="1106"/>
      <c r="FX4" s="1106"/>
      <c r="FY4" s="1106"/>
      <c r="FZ4" s="1106"/>
      <c r="GA4" s="1106"/>
      <c r="GB4" s="1106"/>
      <c r="GC4" s="1106"/>
      <c r="GD4" s="1106"/>
      <c r="GE4" s="1106"/>
      <c r="GF4" s="1106"/>
      <c r="GG4" s="1106"/>
      <c r="GH4" s="1106"/>
      <c r="GI4" s="1106"/>
      <c r="GJ4" s="1106"/>
      <c r="GK4" s="1106"/>
      <c r="GL4" s="1106"/>
      <c r="GM4" s="1106"/>
      <c r="GN4" s="1106"/>
      <c r="GO4" s="1106"/>
      <c r="GP4" s="1106"/>
      <c r="GQ4" s="1106"/>
      <c r="GR4" s="1106"/>
      <c r="GS4" s="1106"/>
      <c r="GT4" s="1106"/>
      <c r="GU4" s="1106"/>
      <c r="GV4" s="1106"/>
      <c r="GW4" s="1106"/>
      <c r="GX4" s="1106"/>
      <c r="GY4" s="1106"/>
      <c r="GZ4" s="1106"/>
      <c r="HA4" s="1106"/>
      <c r="HB4" s="1106"/>
      <c r="HC4" s="1106"/>
      <c r="HD4" s="1106"/>
      <c r="HE4" s="1106"/>
      <c r="HF4" s="1106"/>
      <c r="HG4" s="1106"/>
      <c r="HH4" s="1106"/>
    </row>
    <row r="5" spans="1:216" s="1105" customFormat="1" ht="15.75">
      <c r="A5" s="1406"/>
      <c r="B5" s="1406"/>
      <c r="C5" s="1406"/>
      <c r="D5" s="1406"/>
      <c r="E5" s="1406"/>
      <c r="F5" s="1406"/>
      <c r="G5" s="1406"/>
      <c r="H5" s="1406"/>
      <c r="I5" s="1406"/>
      <c r="J5" s="1406"/>
      <c r="K5" s="1406"/>
      <c r="L5" s="1406"/>
      <c r="M5" s="1406"/>
      <c r="N5" s="1406"/>
      <c r="O5" s="1106"/>
      <c r="P5" s="1106"/>
      <c r="Q5" s="1106"/>
      <c r="R5" s="1106"/>
      <c r="S5" s="1106"/>
      <c r="T5" s="1106"/>
      <c r="U5" s="1106"/>
      <c r="V5" s="1106"/>
      <c r="W5" s="1106"/>
      <c r="X5" s="1106"/>
      <c r="Y5" s="1106"/>
      <c r="Z5" s="1106"/>
      <c r="AA5" s="1106"/>
      <c r="AB5" s="1106"/>
      <c r="AC5" s="1106"/>
      <c r="AD5" s="1106"/>
      <c r="AE5" s="1106"/>
      <c r="AF5" s="1106"/>
      <c r="AG5" s="1106"/>
      <c r="AH5" s="1106"/>
      <c r="AI5" s="1106"/>
      <c r="AJ5" s="1106"/>
      <c r="AK5" s="1106"/>
      <c r="AL5" s="1106"/>
      <c r="AM5" s="1106"/>
      <c r="AN5" s="1106"/>
      <c r="AO5" s="1106"/>
      <c r="AP5" s="1106"/>
      <c r="AQ5" s="1106"/>
      <c r="AR5" s="1106"/>
      <c r="AS5" s="1106"/>
      <c r="AT5" s="1106"/>
      <c r="AU5" s="1106"/>
      <c r="AV5" s="1106"/>
      <c r="AW5" s="1106"/>
      <c r="AX5" s="1106"/>
      <c r="AY5" s="1106"/>
      <c r="AZ5" s="1106"/>
      <c r="BA5" s="1106"/>
      <c r="BB5" s="1106"/>
      <c r="BC5" s="1106"/>
      <c r="BD5" s="1106"/>
      <c r="BE5" s="1106"/>
      <c r="BF5" s="1106"/>
      <c r="BG5" s="1106"/>
      <c r="BH5" s="1106"/>
      <c r="BI5" s="1106"/>
      <c r="BJ5" s="1106"/>
      <c r="BK5" s="1106"/>
      <c r="BL5" s="1106"/>
      <c r="BM5" s="1106"/>
      <c r="BN5" s="1106"/>
      <c r="BO5" s="1106"/>
      <c r="BP5" s="1106"/>
      <c r="BQ5" s="1106"/>
      <c r="BR5" s="1106"/>
      <c r="BS5" s="1106"/>
      <c r="BT5" s="1106"/>
      <c r="BU5" s="1106"/>
      <c r="BV5" s="1106"/>
      <c r="BW5" s="1106"/>
      <c r="BX5" s="1106"/>
      <c r="BY5" s="1106"/>
      <c r="BZ5" s="1106"/>
      <c r="CA5" s="1106"/>
      <c r="CB5" s="1106"/>
      <c r="CC5" s="1106"/>
      <c r="CD5" s="1106"/>
      <c r="CE5" s="1106"/>
      <c r="CF5" s="1106"/>
      <c r="CG5" s="1106"/>
      <c r="CH5" s="1106"/>
      <c r="CI5" s="1106"/>
      <c r="CJ5" s="1106"/>
      <c r="CK5" s="1106"/>
      <c r="CL5" s="1106"/>
      <c r="CM5" s="1106"/>
      <c r="CN5" s="1106"/>
      <c r="CO5" s="1106"/>
      <c r="CP5" s="1106"/>
      <c r="CQ5" s="1106"/>
      <c r="CR5" s="1106"/>
      <c r="CS5" s="1106"/>
      <c r="CT5" s="1106"/>
      <c r="CU5" s="1106"/>
      <c r="CV5" s="1106"/>
      <c r="CW5" s="1106"/>
      <c r="CX5" s="1106"/>
      <c r="CY5" s="1106"/>
      <c r="CZ5" s="1106"/>
      <c r="DA5" s="1106"/>
      <c r="DB5" s="1106"/>
      <c r="DC5" s="1106"/>
      <c r="DD5" s="1106"/>
      <c r="DE5" s="1106"/>
      <c r="DF5" s="1106"/>
      <c r="DG5" s="1106"/>
      <c r="DH5" s="1106"/>
      <c r="DI5" s="1106"/>
      <c r="DJ5" s="1106"/>
      <c r="DK5" s="1106"/>
      <c r="DL5" s="1106"/>
      <c r="DM5" s="1106"/>
      <c r="DN5" s="1106"/>
      <c r="DO5" s="1106"/>
      <c r="DP5" s="1106"/>
      <c r="DQ5" s="1106"/>
      <c r="DR5" s="1106"/>
      <c r="DS5" s="1106"/>
      <c r="DT5" s="1106"/>
      <c r="DU5" s="1106"/>
      <c r="DV5" s="1106"/>
      <c r="DW5" s="1106"/>
      <c r="DX5" s="1106"/>
      <c r="DY5" s="1106"/>
      <c r="DZ5" s="1106"/>
      <c r="EA5" s="1106"/>
      <c r="EB5" s="1106"/>
      <c r="EC5" s="1106"/>
      <c r="ED5" s="1106"/>
      <c r="EE5" s="1106"/>
      <c r="EF5" s="1106"/>
      <c r="EG5" s="1106"/>
      <c r="EH5" s="1106"/>
      <c r="EI5" s="1106"/>
      <c r="EJ5" s="1106"/>
      <c r="EK5" s="1106"/>
      <c r="EL5" s="1106"/>
      <c r="EM5" s="1106"/>
      <c r="EN5" s="1106"/>
      <c r="EO5" s="1106"/>
      <c r="EP5" s="1106"/>
      <c r="EQ5" s="1106"/>
      <c r="ER5" s="1106"/>
      <c r="ES5" s="1106"/>
      <c r="ET5" s="1106"/>
      <c r="EU5" s="1106"/>
      <c r="EV5" s="1106"/>
      <c r="EW5" s="1106"/>
      <c r="EX5" s="1106"/>
      <c r="EY5" s="1106"/>
      <c r="EZ5" s="1106"/>
      <c r="FA5" s="1106"/>
      <c r="FB5" s="1106"/>
      <c r="FC5" s="1106"/>
      <c r="FD5" s="1106"/>
      <c r="FE5" s="1106"/>
      <c r="FF5" s="1106"/>
      <c r="FG5" s="1106"/>
      <c r="FH5" s="1106"/>
      <c r="FI5" s="1106"/>
      <c r="FJ5" s="1106"/>
      <c r="FK5" s="1106"/>
      <c r="FL5" s="1106"/>
      <c r="FM5" s="1106"/>
      <c r="FN5" s="1106"/>
      <c r="FO5" s="1106"/>
      <c r="FP5" s="1106"/>
      <c r="FQ5" s="1106"/>
      <c r="FR5" s="1106"/>
      <c r="FS5" s="1106"/>
      <c r="FT5" s="1106"/>
      <c r="FU5" s="1106"/>
      <c r="FV5" s="1106"/>
      <c r="FW5" s="1106"/>
      <c r="FX5" s="1106"/>
      <c r="FY5" s="1106"/>
      <c r="FZ5" s="1106"/>
      <c r="GA5" s="1106"/>
      <c r="GB5" s="1106"/>
      <c r="GC5" s="1106"/>
      <c r="GD5" s="1106"/>
      <c r="GE5" s="1106"/>
      <c r="GF5" s="1106"/>
      <c r="GG5" s="1106"/>
      <c r="GH5" s="1106"/>
      <c r="GI5" s="1106"/>
      <c r="GJ5" s="1106"/>
      <c r="GK5" s="1106"/>
      <c r="GL5" s="1106"/>
      <c r="GM5" s="1106"/>
      <c r="GN5" s="1106"/>
      <c r="GO5" s="1106"/>
      <c r="GP5" s="1106"/>
      <c r="GQ5" s="1106"/>
      <c r="GR5" s="1106"/>
      <c r="GS5" s="1106"/>
      <c r="GT5" s="1106"/>
      <c r="GU5" s="1106"/>
      <c r="GV5" s="1106"/>
      <c r="GW5" s="1106"/>
      <c r="GX5" s="1106"/>
      <c r="GY5" s="1106"/>
      <c r="GZ5" s="1106"/>
      <c r="HA5" s="1106"/>
      <c r="HB5" s="1106"/>
      <c r="HC5" s="1106"/>
      <c r="HD5" s="1106"/>
      <c r="HE5" s="1106"/>
      <c r="HF5" s="1106"/>
      <c r="HG5" s="1106"/>
      <c r="HH5" s="1106"/>
    </row>
    <row r="6" spans="1:216" s="1105" customFormat="1" ht="14.25">
      <c r="A6" s="1268"/>
      <c r="B6" s="1268"/>
      <c r="C6" s="1268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106"/>
      <c r="P6" s="1106"/>
      <c r="Q6" s="1106"/>
      <c r="R6" s="1106"/>
      <c r="S6" s="1106"/>
      <c r="T6" s="1106"/>
      <c r="U6" s="1106"/>
      <c r="V6" s="1106"/>
      <c r="W6" s="1106"/>
      <c r="X6" s="1106"/>
      <c r="Y6" s="1106"/>
      <c r="Z6" s="1106"/>
      <c r="AA6" s="1106"/>
      <c r="AB6" s="1106"/>
      <c r="AC6" s="1106"/>
      <c r="AD6" s="1106"/>
      <c r="AE6" s="1106"/>
      <c r="AF6" s="1106"/>
      <c r="AG6" s="1106"/>
      <c r="AH6" s="1106"/>
      <c r="AI6" s="1106"/>
      <c r="AJ6" s="1106"/>
      <c r="AK6" s="1106"/>
      <c r="AL6" s="1106"/>
      <c r="AM6" s="1106"/>
      <c r="AN6" s="1106"/>
      <c r="AO6" s="1106"/>
      <c r="AP6" s="1106"/>
      <c r="AQ6" s="1106"/>
      <c r="AR6" s="1106"/>
      <c r="AS6" s="1106"/>
      <c r="AT6" s="1106"/>
      <c r="AU6" s="1106"/>
      <c r="AV6" s="1106"/>
      <c r="AW6" s="1106"/>
      <c r="AX6" s="1106"/>
      <c r="AY6" s="1106"/>
      <c r="AZ6" s="1106"/>
      <c r="BA6" s="1106"/>
      <c r="BB6" s="1106"/>
      <c r="BC6" s="1106"/>
      <c r="BD6" s="1106"/>
      <c r="BE6" s="1106"/>
      <c r="BF6" s="1106"/>
      <c r="BG6" s="1106"/>
      <c r="BH6" s="1106"/>
      <c r="BI6" s="1106"/>
      <c r="BJ6" s="1106"/>
      <c r="BK6" s="1106"/>
      <c r="BL6" s="1106"/>
      <c r="BM6" s="1106"/>
      <c r="BN6" s="1106"/>
      <c r="BO6" s="1106"/>
      <c r="BP6" s="1106"/>
      <c r="BQ6" s="1106"/>
      <c r="BR6" s="1106"/>
      <c r="BS6" s="1106"/>
      <c r="BT6" s="1106"/>
      <c r="BU6" s="1106"/>
      <c r="BV6" s="1106"/>
      <c r="BW6" s="1106"/>
      <c r="BX6" s="1106"/>
      <c r="BY6" s="1106"/>
      <c r="BZ6" s="1106"/>
      <c r="CA6" s="1106"/>
      <c r="CB6" s="1106"/>
      <c r="CC6" s="1106"/>
      <c r="CD6" s="1106"/>
      <c r="CE6" s="1106"/>
      <c r="CF6" s="1106"/>
      <c r="CG6" s="1106"/>
      <c r="CH6" s="1106"/>
      <c r="CI6" s="1106"/>
      <c r="CJ6" s="1106"/>
      <c r="CK6" s="1106"/>
      <c r="CL6" s="1106"/>
      <c r="CM6" s="1106"/>
      <c r="CN6" s="1106"/>
      <c r="CO6" s="1106"/>
      <c r="CP6" s="1106"/>
      <c r="CQ6" s="1106"/>
      <c r="CR6" s="1106"/>
      <c r="CS6" s="1106"/>
      <c r="CT6" s="1106"/>
      <c r="CU6" s="1106"/>
      <c r="CV6" s="1106"/>
      <c r="CW6" s="1106"/>
      <c r="CX6" s="1106"/>
      <c r="CY6" s="1106"/>
      <c r="CZ6" s="1106"/>
      <c r="DA6" s="1106"/>
      <c r="DB6" s="1106"/>
      <c r="DC6" s="1106"/>
      <c r="DD6" s="1106"/>
      <c r="DE6" s="1106"/>
      <c r="DF6" s="1106"/>
      <c r="DG6" s="1106"/>
      <c r="DH6" s="1106"/>
      <c r="DI6" s="1106"/>
      <c r="DJ6" s="1106"/>
      <c r="DK6" s="1106"/>
      <c r="DL6" s="1106"/>
      <c r="DM6" s="1106"/>
      <c r="DN6" s="1106"/>
      <c r="DO6" s="1106"/>
      <c r="DP6" s="1106"/>
      <c r="DQ6" s="1106"/>
      <c r="DR6" s="1106"/>
      <c r="DS6" s="1106"/>
      <c r="DT6" s="1106"/>
      <c r="DU6" s="1106"/>
      <c r="DV6" s="1106"/>
      <c r="DW6" s="1106"/>
      <c r="DX6" s="1106"/>
      <c r="DY6" s="1106"/>
      <c r="DZ6" s="1106"/>
      <c r="EA6" s="1106"/>
      <c r="EB6" s="1106"/>
      <c r="EC6" s="1106"/>
      <c r="ED6" s="1106"/>
      <c r="EE6" s="1106"/>
      <c r="EF6" s="1106"/>
      <c r="EG6" s="1106"/>
      <c r="EH6" s="1106"/>
      <c r="EI6" s="1106"/>
      <c r="EJ6" s="1106"/>
      <c r="EK6" s="1106"/>
      <c r="EL6" s="1106"/>
      <c r="EM6" s="1106"/>
      <c r="EN6" s="1106"/>
      <c r="EO6" s="1106"/>
      <c r="EP6" s="1106"/>
      <c r="EQ6" s="1106"/>
      <c r="ER6" s="1106"/>
      <c r="ES6" s="1106"/>
      <c r="ET6" s="1106"/>
      <c r="EU6" s="1106"/>
      <c r="EV6" s="1106"/>
      <c r="EW6" s="1106"/>
      <c r="EX6" s="1106"/>
      <c r="EY6" s="1106"/>
      <c r="EZ6" s="1106"/>
      <c r="FA6" s="1106"/>
      <c r="FB6" s="1106"/>
      <c r="FC6" s="1106"/>
      <c r="FD6" s="1106"/>
      <c r="FE6" s="1106"/>
      <c r="FF6" s="1106"/>
      <c r="FG6" s="1106"/>
      <c r="FH6" s="1106"/>
      <c r="FI6" s="1106"/>
      <c r="FJ6" s="1106"/>
      <c r="FK6" s="1106"/>
      <c r="FL6" s="1106"/>
      <c r="FM6" s="1106"/>
      <c r="FN6" s="1106"/>
      <c r="FO6" s="1106"/>
      <c r="FP6" s="1106"/>
      <c r="FQ6" s="1106"/>
      <c r="FR6" s="1106"/>
      <c r="FS6" s="1106"/>
      <c r="FT6" s="1106"/>
      <c r="FU6" s="1106"/>
      <c r="FV6" s="1106"/>
      <c r="FW6" s="1106"/>
      <c r="FX6" s="1106"/>
      <c r="FY6" s="1106"/>
      <c r="FZ6" s="1106"/>
      <c r="GA6" s="1106"/>
      <c r="GB6" s="1106"/>
      <c r="GC6" s="1106"/>
      <c r="GD6" s="1106"/>
      <c r="GE6" s="1106"/>
      <c r="GF6" s="1106"/>
      <c r="GG6" s="1106"/>
      <c r="GH6" s="1106"/>
      <c r="GI6" s="1106"/>
      <c r="GJ6" s="1106"/>
      <c r="GK6" s="1106"/>
      <c r="GL6" s="1106"/>
      <c r="GM6" s="1106"/>
      <c r="GN6" s="1106"/>
      <c r="GO6" s="1106"/>
      <c r="GP6" s="1106"/>
      <c r="GQ6" s="1106"/>
      <c r="GR6" s="1106"/>
      <c r="GS6" s="1106"/>
      <c r="GT6" s="1106"/>
      <c r="GU6" s="1106"/>
      <c r="GV6" s="1106"/>
      <c r="GW6" s="1106"/>
      <c r="GX6" s="1106"/>
      <c r="GY6" s="1106"/>
      <c r="GZ6" s="1106"/>
      <c r="HA6" s="1106"/>
      <c r="HB6" s="1106"/>
      <c r="HC6" s="1106"/>
      <c r="HD6" s="1106"/>
      <c r="HE6" s="1106"/>
      <c r="HF6" s="1106"/>
      <c r="HG6" s="1106"/>
      <c r="HH6" s="1106"/>
    </row>
    <row r="7" spans="14:216" s="1105" customFormat="1" ht="12.75">
      <c r="N7" s="1105" t="s">
        <v>128</v>
      </c>
      <c r="O7" s="1106"/>
      <c r="P7" s="1106"/>
      <c r="Q7" s="1106"/>
      <c r="R7" s="1106"/>
      <c r="S7" s="1106"/>
      <c r="T7" s="1106"/>
      <c r="U7" s="1106"/>
      <c r="V7" s="1106"/>
      <c r="W7" s="1106"/>
      <c r="X7" s="1106"/>
      <c r="Y7" s="1106"/>
      <c r="Z7" s="1106"/>
      <c r="AA7" s="1106"/>
      <c r="AB7" s="1106"/>
      <c r="AC7" s="1106"/>
      <c r="AD7" s="1106"/>
      <c r="AE7" s="1106"/>
      <c r="AF7" s="1106"/>
      <c r="AG7" s="1106"/>
      <c r="AH7" s="1106"/>
      <c r="AI7" s="1106"/>
      <c r="AJ7" s="1106"/>
      <c r="AK7" s="1106"/>
      <c r="AL7" s="1106"/>
      <c r="AM7" s="1106"/>
      <c r="AN7" s="1106"/>
      <c r="AO7" s="1106"/>
      <c r="AP7" s="1106"/>
      <c r="AQ7" s="1106"/>
      <c r="AR7" s="1106"/>
      <c r="AS7" s="1106"/>
      <c r="AT7" s="1106"/>
      <c r="AU7" s="1106"/>
      <c r="AV7" s="1106"/>
      <c r="AW7" s="1106"/>
      <c r="AX7" s="1106"/>
      <c r="AY7" s="1106"/>
      <c r="AZ7" s="1106"/>
      <c r="BA7" s="1106"/>
      <c r="BB7" s="1106"/>
      <c r="BC7" s="1106"/>
      <c r="BD7" s="1106"/>
      <c r="BE7" s="1106"/>
      <c r="BF7" s="1106"/>
      <c r="BG7" s="1106"/>
      <c r="BH7" s="1106"/>
      <c r="BI7" s="1106"/>
      <c r="BJ7" s="1106"/>
      <c r="BK7" s="1106"/>
      <c r="BL7" s="1106"/>
      <c r="BM7" s="1106"/>
      <c r="BN7" s="1106"/>
      <c r="BO7" s="1106"/>
      <c r="BP7" s="1106"/>
      <c r="BQ7" s="1106"/>
      <c r="BR7" s="1106"/>
      <c r="BS7" s="1106"/>
      <c r="BT7" s="1106"/>
      <c r="BU7" s="1106"/>
      <c r="BV7" s="1106"/>
      <c r="BW7" s="1106"/>
      <c r="BX7" s="1106"/>
      <c r="BY7" s="1106"/>
      <c r="BZ7" s="1106"/>
      <c r="CA7" s="1106"/>
      <c r="CB7" s="1106"/>
      <c r="CC7" s="1106"/>
      <c r="CD7" s="1106"/>
      <c r="CE7" s="1106"/>
      <c r="CF7" s="1106"/>
      <c r="CG7" s="1106"/>
      <c r="CH7" s="1106"/>
      <c r="CI7" s="1106"/>
      <c r="CJ7" s="1106"/>
      <c r="CK7" s="1106"/>
      <c r="CL7" s="1106"/>
      <c r="CM7" s="1106"/>
      <c r="CN7" s="1106"/>
      <c r="CO7" s="1106"/>
      <c r="CP7" s="1106"/>
      <c r="CQ7" s="1106"/>
      <c r="CR7" s="1106"/>
      <c r="CS7" s="1106"/>
      <c r="CT7" s="1106"/>
      <c r="CU7" s="1106"/>
      <c r="CV7" s="1106"/>
      <c r="CW7" s="1106"/>
      <c r="CX7" s="1106"/>
      <c r="CY7" s="1106"/>
      <c r="CZ7" s="1106"/>
      <c r="DA7" s="1106"/>
      <c r="DB7" s="1106"/>
      <c r="DC7" s="1106"/>
      <c r="DD7" s="1106"/>
      <c r="DE7" s="1106"/>
      <c r="DF7" s="1106"/>
      <c r="DG7" s="1106"/>
      <c r="DH7" s="1106"/>
      <c r="DI7" s="1106"/>
      <c r="DJ7" s="1106"/>
      <c r="DK7" s="1106"/>
      <c r="DL7" s="1106"/>
      <c r="DM7" s="1106"/>
      <c r="DN7" s="1106"/>
      <c r="DO7" s="1106"/>
      <c r="DP7" s="1106"/>
      <c r="DQ7" s="1106"/>
      <c r="DR7" s="1106"/>
      <c r="DS7" s="1106"/>
      <c r="DT7" s="1106"/>
      <c r="DU7" s="1106"/>
      <c r="DV7" s="1106"/>
      <c r="DW7" s="1106"/>
      <c r="DX7" s="1106"/>
      <c r="DY7" s="1106"/>
      <c r="DZ7" s="1106"/>
      <c r="EA7" s="1106"/>
      <c r="EB7" s="1106"/>
      <c r="EC7" s="1106"/>
      <c r="ED7" s="1106"/>
      <c r="EE7" s="1106"/>
      <c r="EF7" s="1106"/>
      <c r="EG7" s="1106"/>
      <c r="EH7" s="1106"/>
      <c r="EI7" s="1106"/>
      <c r="EJ7" s="1106"/>
      <c r="EK7" s="1106"/>
      <c r="EL7" s="1106"/>
      <c r="EM7" s="1106"/>
      <c r="EN7" s="1106"/>
      <c r="EO7" s="1106"/>
      <c r="EP7" s="1106"/>
      <c r="EQ7" s="1106"/>
      <c r="ER7" s="1106"/>
      <c r="ES7" s="1106"/>
      <c r="ET7" s="1106"/>
      <c r="EU7" s="1106"/>
      <c r="EV7" s="1106"/>
      <c r="EW7" s="1106"/>
      <c r="EX7" s="1106"/>
      <c r="EY7" s="1106"/>
      <c r="EZ7" s="1106"/>
      <c r="FA7" s="1106"/>
      <c r="FB7" s="1106"/>
      <c r="FC7" s="1106"/>
      <c r="FD7" s="1106"/>
      <c r="FE7" s="1106"/>
      <c r="FF7" s="1106"/>
      <c r="FG7" s="1106"/>
      <c r="FH7" s="1106"/>
      <c r="FI7" s="1106"/>
      <c r="FJ7" s="1106"/>
      <c r="FK7" s="1106"/>
      <c r="FL7" s="1106"/>
      <c r="FM7" s="1106"/>
      <c r="FN7" s="1106"/>
      <c r="FO7" s="1106"/>
      <c r="FP7" s="1106"/>
      <c r="FQ7" s="1106"/>
      <c r="FR7" s="1106"/>
      <c r="FS7" s="1106"/>
      <c r="FT7" s="1106"/>
      <c r="FU7" s="1106"/>
      <c r="FV7" s="1106"/>
      <c r="FW7" s="1106"/>
      <c r="FX7" s="1106"/>
      <c r="FY7" s="1106"/>
      <c r="FZ7" s="1106"/>
      <c r="GA7" s="1106"/>
      <c r="GB7" s="1106"/>
      <c r="GC7" s="1106"/>
      <c r="GD7" s="1106"/>
      <c r="GE7" s="1106"/>
      <c r="GF7" s="1106"/>
      <c r="GG7" s="1106"/>
      <c r="GH7" s="1106"/>
      <c r="GI7" s="1106"/>
      <c r="GJ7" s="1106"/>
      <c r="GK7" s="1106"/>
      <c r="GL7" s="1106"/>
      <c r="GM7" s="1106"/>
      <c r="GN7" s="1106"/>
      <c r="GO7" s="1106"/>
      <c r="GP7" s="1106"/>
      <c r="GQ7" s="1106"/>
      <c r="GR7" s="1106"/>
      <c r="GS7" s="1106"/>
      <c r="GT7" s="1106"/>
      <c r="GU7" s="1106"/>
      <c r="GV7" s="1106"/>
      <c r="GW7" s="1106"/>
      <c r="GX7" s="1106"/>
      <c r="GY7" s="1106"/>
      <c r="GZ7" s="1106"/>
      <c r="HA7" s="1106"/>
      <c r="HB7" s="1106"/>
      <c r="HC7" s="1106"/>
      <c r="HD7" s="1106"/>
      <c r="HE7" s="1106"/>
      <c r="HF7" s="1106"/>
      <c r="HG7" s="1106"/>
      <c r="HH7" s="1106"/>
    </row>
    <row r="8" spans="1:216" s="1105" customFormat="1" ht="18" customHeight="1">
      <c r="A8" s="1413" t="s">
        <v>169</v>
      </c>
      <c r="B8" s="1413" t="s">
        <v>30</v>
      </c>
      <c r="C8" s="1417" t="s">
        <v>31</v>
      </c>
      <c r="D8" s="1418"/>
      <c r="E8" s="1419"/>
      <c r="F8" s="1407" t="s">
        <v>32</v>
      </c>
      <c r="G8" s="1408"/>
      <c r="H8" s="1409"/>
      <c r="I8" s="1417" t="s">
        <v>9</v>
      </c>
      <c r="J8" s="1418"/>
      <c r="K8" s="1419"/>
      <c r="L8" s="1407" t="s">
        <v>33</v>
      </c>
      <c r="M8" s="1408"/>
      <c r="N8" s="1409"/>
      <c r="O8" s="1106"/>
      <c r="P8" s="1106"/>
      <c r="Q8" s="1106"/>
      <c r="R8" s="1106"/>
      <c r="S8" s="1106"/>
      <c r="T8" s="1106"/>
      <c r="U8" s="1106"/>
      <c r="V8" s="1106"/>
      <c r="W8" s="1106"/>
      <c r="X8" s="1106"/>
      <c r="Y8" s="1106"/>
      <c r="Z8" s="1106"/>
      <c r="AA8" s="1106"/>
      <c r="AB8" s="1106"/>
      <c r="AC8" s="1106"/>
      <c r="AD8" s="1106"/>
      <c r="AE8" s="1106"/>
      <c r="AF8" s="1106"/>
      <c r="AG8" s="1106"/>
      <c r="AH8" s="1106"/>
      <c r="AI8" s="1106"/>
      <c r="AJ8" s="1106"/>
      <c r="AK8" s="1106"/>
      <c r="AL8" s="1106"/>
      <c r="AM8" s="1106"/>
      <c r="AN8" s="1106"/>
      <c r="AO8" s="1106"/>
      <c r="AP8" s="1106"/>
      <c r="AQ8" s="1106"/>
      <c r="AR8" s="1106"/>
      <c r="AS8" s="1106"/>
      <c r="AT8" s="1106"/>
      <c r="AU8" s="1106"/>
      <c r="AV8" s="1106"/>
      <c r="AW8" s="1106"/>
      <c r="AX8" s="1106"/>
      <c r="AY8" s="1106"/>
      <c r="AZ8" s="1106"/>
      <c r="BA8" s="1106"/>
      <c r="BB8" s="1106"/>
      <c r="BC8" s="1106"/>
      <c r="BD8" s="1106"/>
      <c r="BE8" s="1106"/>
      <c r="BF8" s="1106"/>
      <c r="BG8" s="1106"/>
      <c r="BH8" s="1106"/>
      <c r="BI8" s="1106"/>
      <c r="BJ8" s="1106"/>
      <c r="BK8" s="1106"/>
      <c r="BL8" s="1106"/>
      <c r="BM8" s="1106"/>
      <c r="BN8" s="1106"/>
      <c r="BO8" s="1106"/>
      <c r="BP8" s="1106"/>
      <c r="BQ8" s="1106"/>
      <c r="BR8" s="1106"/>
      <c r="BS8" s="1106"/>
      <c r="BT8" s="1106"/>
      <c r="BU8" s="1106"/>
      <c r="BV8" s="1106"/>
      <c r="BW8" s="1106"/>
      <c r="BX8" s="1106"/>
      <c r="BY8" s="1106"/>
      <c r="BZ8" s="1106"/>
      <c r="CA8" s="1106"/>
      <c r="CB8" s="1106"/>
      <c r="CC8" s="1106"/>
      <c r="CD8" s="1106"/>
      <c r="CE8" s="1106"/>
      <c r="CF8" s="1106"/>
      <c r="CG8" s="1106"/>
      <c r="CH8" s="1106"/>
      <c r="CI8" s="1106"/>
      <c r="CJ8" s="1106"/>
      <c r="CK8" s="1106"/>
      <c r="CL8" s="1106"/>
      <c r="CM8" s="1106"/>
      <c r="CN8" s="1106"/>
      <c r="CO8" s="1106"/>
      <c r="CP8" s="1106"/>
      <c r="CQ8" s="1106"/>
      <c r="CR8" s="1106"/>
      <c r="CS8" s="1106"/>
      <c r="CT8" s="1106"/>
      <c r="CU8" s="1106"/>
      <c r="CV8" s="1106"/>
      <c r="CW8" s="1106"/>
      <c r="CX8" s="1106"/>
      <c r="CY8" s="1106"/>
      <c r="CZ8" s="1106"/>
      <c r="DA8" s="1106"/>
      <c r="DB8" s="1106"/>
      <c r="DC8" s="1106"/>
      <c r="DD8" s="1106"/>
      <c r="DE8" s="1106"/>
      <c r="DF8" s="1106"/>
      <c r="DG8" s="1106"/>
      <c r="DH8" s="1106"/>
      <c r="DI8" s="1106"/>
      <c r="DJ8" s="1106"/>
      <c r="DK8" s="1106"/>
      <c r="DL8" s="1106"/>
      <c r="DM8" s="1106"/>
      <c r="DN8" s="1106"/>
      <c r="DO8" s="1106"/>
      <c r="DP8" s="1106"/>
      <c r="DQ8" s="1106"/>
      <c r="DR8" s="1106"/>
      <c r="DS8" s="1106"/>
      <c r="DT8" s="1106"/>
      <c r="DU8" s="1106"/>
      <c r="DV8" s="1106"/>
      <c r="DW8" s="1106"/>
      <c r="DX8" s="1106"/>
      <c r="DY8" s="1106"/>
      <c r="DZ8" s="1106"/>
      <c r="EA8" s="1106"/>
      <c r="EB8" s="1106"/>
      <c r="EC8" s="1106"/>
      <c r="ED8" s="1106"/>
      <c r="EE8" s="1106"/>
      <c r="EF8" s="1106"/>
      <c r="EG8" s="1106"/>
      <c r="EH8" s="1106"/>
      <c r="EI8" s="1106"/>
      <c r="EJ8" s="1106"/>
      <c r="EK8" s="1106"/>
      <c r="EL8" s="1106"/>
      <c r="EM8" s="1106"/>
      <c r="EN8" s="1106"/>
      <c r="EO8" s="1106"/>
      <c r="EP8" s="1106"/>
      <c r="EQ8" s="1106"/>
      <c r="ER8" s="1106"/>
      <c r="ES8" s="1106"/>
      <c r="ET8" s="1106"/>
      <c r="EU8" s="1106"/>
      <c r="EV8" s="1106"/>
      <c r="EW8" s="1106"/>
      <c r="EX8" s="1106"/>
      <c r="EY8" s="1106"/>
      <c r="EZ8" s="1106"/>
      <c r="FA8" s="1106"/>
      <c r="FB8" s="1106"/>
      <c r="FC8" s="1106"/>
      <c r="FD8" s="1106"/>
      <c r="FE8" s="1106"/>
      <c r="FF8" s="1106"/>
      <c r="FG8" s="1106"/>
      <c r="FH8" s="1106"/>
      <c r="FI8" s="1106"/>
      <c r="FJ8" s="1106"/>
      <c r="FK8" s="1106"/>
      <c r="FL8" s="1106"/>
      <c r="FM8" s="1106"/>
      <c r="FN8" s="1106"/>
      <c r="FO8" s="1106"/>
      <c r="FP8" s="1106"/>
      <c r="FQ8" s="1106"/>
      <c r="FR8" s="1106"/>
      <c r="FS8" s="1106"/>
      <c r="FT8" s="1106"/>
      <c r="FU8" s="1106"/>
      <c r="FV8" s="1106"/>
      <c r="FW8" s="1106"/>
      <c r="FX8" s="1106"/>
      <c r="FY8" s="1106"/>
      <c r="FZ8" s="1106"/>
      <c r="GA8" s="1106"/>
      <c r="GB8" s="1106"/>
      <c r="GC8" s="1106"/>
      <c r="GD8" s="1106"/>
      <c r="GE8" s="1106"/>
      <c r="GF8" s="1106"/>
      <c r="GG8" s="1106"/>
      <c r="GH8" s="1106"/>
      <c r="GI8" s="1106"/>
      <c r="GJ8" s="1106"/>
      <c r="GK8" s="1106"/>
      <c r="GL8" s="1106"/>
      <c r="GM8" s="1106"/>
      <c r="GN8" s="1106"/>
      <c r="GO8" s="1106"/>
      <c r="GP8" s="1106"/>
      <c r="GQ8" s="1106"/>
      <c r="GR8" s="1106"/>
      <c r="GS8" s="1106"/>
      <c r="GT8" s="1106"/>
      <c r="GU8" s="1106"/>
      <c r="GV8" s="1106"/>
      <c r="GW8" s="1106"/>
      <c r="GX8" s="1106"/>
      <c r="GY8" s="1106"/>
      <c r="GZ8" s="1106"/>
      <c r="HA8" s="1106"/>
      <c r="HB8" s="1106"/>
      <c r="HC8" s="1106"/>
      <c r="HD8" s="1106"/>
      <c r="HE8" s="1106"/>
      <c r="HF8" s="1106"/>
      <c r="HG8" s="1106"/>
      <c r="HH8" s="1106"/>
    </row>
    <row r="9" spans="1:216" s="1105" customFormat="1" ht="14.25" customHeight="1">
      <c r="A9" s="1414"/>
      <c r="B9" s="1414"/>
      <c r="C9" s="1420"/>
      <c r="D9" s="1421"/>
      <c r="E9" s="1422"/>
      <c r="F9" s="1410"/>
      <c r="G9" s="1411"/>
      <c r="H9" s="1412"/>
      <c r="I9" s="1420"/>
      <c r="J9" s="1421"/>
      <c r="K9" s="1422"/>
      <c r="L9" s="1410"/>
      <c r="M9" s="1411"/>
      <c r="N9" s="1412"/>
      <c r="O9" s="1106"/>
      <c r="P9" s="1106"/>
      <c r="Q9" s="1106"/>
      <c r="R9" s="1106"/>
      <c r="S9" s="1106"/>
      <c r="T9" s="1106"/>
      <c r="U9" s="1106"/>
      <c r="V9" s="1106"/>
      <c r="W9" s="1106"/>
      <c r="X9" s="1106"/>
      <c r="Y9" s="1106"/>
      <c r="Z9" s="1106"/>
      <c r="AA9" s="1106"/>
      <c r="AB9" s="1106"/>
      <c r="AC9" s="1106"/>
      <c r="AD9" s="1106"/>
      <c r="AE9" s="1106"/>
      <c r="AF9" s="1106"/>
      <c r="AG9" s="1106"/>
      <c r="AH9" s="1106"/>
      <c r="AI9" s="1106"/>
      <c r="AJ9" s="1106"/>
      <c r="AK9" s="1106"/>
      <c r="AL9" s="1106"/>
      <c r="AM9" s="1106"/>
      <c r="AN9" s="1106"/>
      <c r="AO9" s="1106"/>
      <c r="AP9" s="1106"/>
      <c r="AQ9" s="1106"/>
      <c r="AR9" s="1106"/>
      <c r="AS9" s="1106"/>
      <c r="AT9" s="1106"/>
      <c r="AU9" s="1106"/>
      <c r="AV9" s="1106"/>
      <c r="AW9" s="1106"/>
      <c r="AX9" s="1106"/>
      <c r="AY9" s="1106"/>
      <c r="AZ9" s="1106"/>
      <c r="BA9" s="1106"/>
      <c r="BB9" s="1106"/>
      <c r="BC9" s="1106"/>
      <c r="BD9" s="1106"/>
      <c r="BE9" s="1106"/>
      <c r="BF9" s="1106"/>
      <c r="BG9" s="1106"/>
      <c r="BH9" s="1106"/>
      <c r="BI9" s="1106"/>
      <c r="BJ9" s="1106"/>
      <c r="BK9" s="1106"/>
      <c r="BL9" s="1106"/>
      <c r="BM9" s="1106"/>
      <c r="BN9" s="1106"/>
      <c r="BO9" s="1106"/>
      <c r="BP9" s="1106"/>
      <c r="BQ9" s="1106"/>
      <c r="BR9" s="1106"/>
      <c r="BS9" s="1106"/>
      <c r="BT9" s="1106"/>
      <c r="BU9" s="1106"/>
      <c r="BV9" s="1106"/>
      <c r="BW9" s="1106"/>
      <c r="BX9" s="1106"/>
      <c r="BY9" s="1106"/>
      <c r="BZ9" s="1106"/>
      <c r="CA9" s="1106"/>
      <c r="CB9" s="1106"/>
      <c r="CC9" s="1106"/>
      <c r="CD9" s="1106"/>
      <c r="CE9" s="1106"/>
      <c r="CF9" s="1106"/>
      <c r="CG9" s="1106"/>
      <c r="CH9" s="1106"/>
      <c r="CI9" s="1106"/>
      <c r="CJ9" s="1106"/>
      <c r="CK9" s="1106"/>
      <c r="CL9" s="1106"/>
      <c r="CM9" s="1106"/>
      <c r="CN9" s="1106"/>
      <c r="CO9" s="1106"/>
      <c r="CP9" s="1106"/>
      <c r="CQ9" s="1106"/>
      <c r="CR9" s="1106"/>
      <c r="CS9" s="1106"/>
      <c r="CT9" s="1106"/>
      <c r="CU9" s="1106"/>
      <c r="CV9" s="1106"/>
      <c r="CW9" s="1106"/>
      <c r="CX9" s="1106"/>
      <c r="CY9" s="1106"/>
      <c r="CZ9" s="1106"/>
      <c r="DA9" s="1106"/>
      <c r="DB9" s="1106"/>
      <c r="DC9" s="1106"/>
      <c r="DD9" s="1106"/>
      <c r="DE9" s="1106"/>
      <c r="DF9" s="1106"/>
      <c r="DG9" s="1106"/>
      <c r="DH9" s="1106"/>
      <c r="DI9" s="1106"/>
      <c r="DJ9" s="1106"/>
      <c r="DK9" s="1106"/>
      <c r="DL9" s="1106"/>
      <c r="DM9" s="1106"/>
      <c r="DN9" s="1106"/>
      <c r="DO9" s="1106"/>
      <c r="DP9" s="1106"/>
      <c r="DQ9" s="1106"/>
      <c r="DR9" s="1106"/>
      <c r="DS9" s="1106"/>
      <c r="DT9" s="1106"/>
      <c r="DU9" s="1106"/>
      <c r="DV9" s="1106"/>
      <c r="DW9" s="1106"/>
      <c r="DX9" s="1106"/>
      <c r="DY9" s="1106"/>
      <c r="DZ9" s="1106"/>
      <c r="EA9" s="1106"/>
      <c r="EB9" s="1106"/>
      <c r="EC9" s="1106"/>
      <c r="ED9" s="1106"/>
      <c r="EE9" s="1106"/>
      <c r="EF9" s="1106"/>
      <c r="EG9" s="1106"/>
      <c r="EH9" s="1106"/>
      <c r="EI9" s="1106"/>
      <c r="EJ9" s="1106"/>
      <c r="EK9" s="1106"/>
      <c r="EL9" s="1106"/>
      <c r="EM9" s="1106"/>
      <c r="EN9" s="1106"/>
      <c r="EO9" s="1106"/>
      <c r="EP9" s="1106"/>
      <c r="EQ9" s="1106"/>
      <c r="ER9" s="1106"/>
      <c r="ES9" s="1106"/>
      <c r="ET9" s="1106"/>
      <c r="EU9" s="1106"/>
      <c r="EV9" s="1106"/>
      <c r="EW9" s="1106"/>
      <c r="EX9" s="1106"/>
      <c r="EY9" s="1106"/>
      <c r="EZ9" s="1106"/>
      <c r="FA9" s="1106"/>
      <c r="FB9" s="1106"/>
      <c r="FC9" s="1106"/>
      <c r="FD9" s="1106"/>
      <c r="FE9" s="1106"/>
      <c r="FF9" s="1106"/>
      <c r="FG9" s="1106"/>
      <c r="FH9" s="1106"/>
      <c r="FI9" s="1106"/>
      <c r="FJ9" s="1106"/>
      <c r="FK9" s="1106"/>
      <c r="FL9" s="1106"/>
      <c r="FM9" s="1106"/>
      <c r="FN9" s="1106"/>
      <c r="FO9" s="1106"/>
      <c r="FP9" s="1106"/>
      <c r="FQ9" s="1106"/>
      <c r="FR9" s="1106"/>
      <c r="FS9" s="1106"/>
      <c r="FT9" s="1106"/>
      <c r="FU9" s="1106"/>
      <c r="FV9" s="1106"/>
      <c r="FW9" s="1106"/>
      <c r="FX9" s="1106"/>
      <c r="FY9" s="1106"/>
      <c r="FZ9" s="1106"/>
      <c r="GA9" s="1106"/>
      <c r="GB9" s="1106"/>
      <c r="GC9" s="1106"/>
      <c r="GD9" s="1106"/>
      <c r="GE9" s="1106"/>
      <c r="GF9" s="1106"/>
      <c r="GG9" s="1106"/>
      <c r="GH9" s="1106"/>
      <c r="GI9" s="1106"/>
      <c r="GJ9" s="1106"/>
      <c r="GK9" s="1106"/>
      <c r="GL9" s="1106"/>
      <c r="GM9" s="1106"/>
      <c r="GN9" s="1106"/>
      <c r="GO9" s="1106"/>
      <c r="GP9" s="1106"/>
      <c r="GQ9" s="1106"/>
      <c r="GR9" s="1106"/>
      <c r="GS9" s="1106"/>
      <c r="GT9" s="1106"/>
      <c r="GU9" s="1106"/>
      <c r="GV9" s="1106"/>
      <c r="GW9" s="1106"/>
      <c r="GX9" s="1106"/>
      <c r="GY9" s="1106"/>
      <c r="GZ9" s="1106"/>
      <c r="HA9" s="1106"/>
      <c r="HB9" s="1106"/>
      <c r="HC9" s="1106"/>
      <c r="HD9" s="1106"/>
      <c r="HE9" s="1106"/>
      <c r="HF9" s="1106"/>
      <c r="HG9" s="1106"/>
      <c r="HH9" s="1106"/>
    </row>
    <row r="10" spans="1:216" s="1105" customFormat="1" ht="25.5" customHeight="1">
      <c r="A10" s="1415"/>
      <c r="B10" s="1416"/>
      <c r="C10" s="1269" t="s">
        <v>920</v>
      </c>
      <c r="D10" s="1269" t="s">
        <v>921</v>
      </c>
      <c r="E10" s="1269" t="s">
        <v>922</v>
      </c>
      <c r="F10" s="1269" t="s">
        <v>920</v>
      </c>
      <c r="G10" s="1269" t="s">
        <v>921</v>
      </c>
      <c r="H10" s="1269" t="s">
        <v>922</v>
      </c>
      <c r="I10" s="1269" t="s">
        <v>920</v>
      </c>
      <c r="J10" s="1269" t="s">
        <v>921</v>
      </c>
      <c r="K10" s="1269" t="s">
        <v>922</v>
      </c>
      <c r="L10" s="1269" t="s">
        <v>920</v>
      </c>
      <c r="M10" s="1269" t="s">
        <v>921</v>
      </c>
      <c r="N10" s="1269" t="s">
        <v>922</v>
      </c>
      <c r="O10" s="1106"/>
      <c r="P10" s="1106"/>
      <c r="Q10" s="1106"/>
      <c r="R10" s="1106"/>
      <c r="S10" s="1106"/>
      <c r="T10" s="1106"/>
      <c r="U10" s="1106"/>
      <c r="V10" s="1106"/>
      <c r="W10" s="1106"/>
      <c r="X10" s="1106"/>
      <c r="Y10" s="1106"/>
      <c r="Z10" s="1106"/>
      <c r="AA10" s="1106"/>
      <c r="AB10" s="1106"/>
      <c r="AC10" s="1106"/>
      <c r="AD10" s="1106"/>
      <c r="AE10" s="1106"/>
      <c r="AF10" s="1106"/>
      <c r="AG10" s="1106"/>
      <c r="AH10" s="1106"/>
      <c r="AI10" s="1106"/>
      <c r="AJ10" s="1106"/>
      <c r="AK10" s="1106"/>
      <c r="AL10" s="1106"/>
      <c r="AM10" s="1106"/>
      <c r="AN10" s="1106"/>
      <c r="AO10" s="1106"/>
      <c r="AP10" s="1106"/>
      <c r="AQ10" s="1106"/>
      <c r="AR10" s="1106"/>
      <c r="AS10" s="1106"/>
      <c r="AT10" s="1106"/>
      <c r="AU10" s="1106"/>
      <c r="AV10" s="1106"/>
      <c r="AW10" s="1106"/>
      <c r="AX10" s="1106"/>
      <c r="AY10" s="1106"/>
      <c r="AZ10" s="1106"/>
      <c r="BA10" s="1106"/>
      <c r="BB10" s="1106"/>
      <c r="BC10" s="1106"/>
      <c r="BD10" s="1106"/>
      <c r="BE10" s="1106"/>
      <c r="BF10" s="1106"/>
      <c r="BG10" s="1106"/>
      <c r="BH10" s="1106"/>
      <c r="BI10" s="1106"/>
      <c r="BJ10" s="1106"/>
      <c r="BK10" s="1106"/>
      <c r="BL10" s="1106"/>
      <c r="BM10" s="1106"/>
      <c r="BN10" s="1106"/>
      <c r="BO10" s="1106"/>
      <c r="BP10" s="1106"/>
      <c r="BQ10" s="1106"/>
      <c r="BR10" s="1106"/>
      <c r="BS10" s="1106"/>
      <c r="BT10" s="1106"/>
      <c r="BU10" s="1106"/>
      <c r="BV10" s="1106"/>
      <c r="BW10" s="1106"/>
      <c r="BX10" s="1106"/>
      <c r="BY10" s="1106"/>
      <c r="BZ10" s="1106"/>
      <c r="CA10" s="1106"/>
      <c r="CB10" s="1106"/>
      <c r="CC10" s="1106"/>
      <c r="CD10" s="1106"/>
      <c r="CE10" s="1106"/>
      <c r="CF10" s="1106"/>
      <c r="CG10" s="1106"/>
      <c r="CH10" s="1106"/>
      <c r="CI10" s="1106"/>
      <c r="CJ10" s="1106"/>
      <c r="CK10" s="1106"/>
      <c r="CL10" s="1106"/>
      <c r="CM10" s="1106"/>
      <c r="CN10" s="1106"/>
      <c r="CO10" s="1106"/>
      <c r="CP10" s="1106"/>
      <c r="CQ10" s="1106"/>
      <c r="CR10" s="1106"/>
      <c r="CS10" s="1106"/>
      <c r="CT10" s="1106"/>
      <c r="CU10" s="1106"/>
      <c r="CV10" s="1106"/>
      <c r="CW10" s="1106"/>
      <c r="CX10" s="1106"/>
      <c r="CY10" s="1106"/>
      <c r="CZ10" s="1106"/>
      <c r="DA10" s="1106"/>
      <c r="DB10" s="1106"/>
      <c r="DC10" s="1106"/>
      <c r="DD10" s="1106"/>
      <c r="DE10" s="1106"/>
      <c r="DF10" s="1106"/>
      <c r="DG10" s="1106"/>
      <c r="DH10" s="1106"/>
      <c r="DI10" s="1106"/>
      <c r="DJ10" s="1106"/>
      <c r="DK10" s="1106"/>
      <c r="DL10" s="1106"/>
      <c r="DM10" s="1106"/>
      <c r="DN10" s="1106"/>
      <c r="DO10" s="1106"/>
      <c r="DP10" s="1106"/>
      <c r="DQ10" s="1106"/>
      <c r="DR10" s="1106"/>
      <c r="DS10" s="1106"/>
      <c r="DT10" s="1106"/>
      <c r="DU10" s="1106"/>
      <c r="DV10" s="1106"/>
      <c r="DW10" s="1106"/>
      <c r="DX10" s="1106"/>
      <c r="DY10" s="1106"/>
      <c r="DZ10" s="1106"/>
      <c r="EA10" s="1106"/>
      <c r="EB10" s="1106"/>
      <c r="EC10" s="1106"/>
      <c r="ED10" s="1106"/>
      <c r="EE10" s="1106"/>
      <c r="EF10" s="1106"/>
      <c r="EG10" s="1106"/>
      <c r="EH10" s="1106"/>
      <c r="EI10" s="1106"/>
      <c r="EJ10" s="1106"/>
      <c r="EK10" s="1106"/>
      <c r="EL10" s="1106"/>
      <c r="EM10" s="1106"/>
      <c r="EN10" s="1106"/>
      <c r="EO10" s="1106"/>
      <c r="EP10" s="1106"/>
      <c r="EQ10" s="1106"/>
      <c r="ER10" s="1106"/>
      <c r="ES10" s="1106"/>
      <c r="ET10" s="1106"/>
      <c r="EU10" s="1106"/>
      <c r="EV10" s="1106"/>
      <c r="EW10" s="1106"/>
      <c r="EX10" s="1106"/>
      <c r="EY10" s="1106"/>
      <c r="EZ10" s="1106"/>
      <c r="FA10" s="1106"/>
      <c r="FB10" s="1106"/>
      <c r="FC10" s="1106"/>
      <c r="FD10" s="1106"/>
      <c r="FE10" s="1106"/>
      <c r="FF10" s="1106"/>
      <c r="FG10" s="1106"/>
      <c r="FH10" s="1106"/>
      <c r="FI10" s="1106"/>
      <c r="FJ10" s="1106"/>
      <c r="FK10" s="1106"/>
      <c r="FL10" s="1106"/>
      <c r="FM10" s="1106"/>
      <c r="FN10" s="1106"/>
      <c r="FO10" s="1106"/>
      <c r="FP10" s="1106"/>
      <c r="FQ10" s="1106"/>
      <c r="FR10" s="1106"/>
      <c r="FS10" s="1106"/>
      <c r="FT10" s="1106"/>
      <c r="FU10" s="1106"/>
      <c r="FV10" s="1106"/>
      <c r="FW10" s="1106"/>
      <c r="FX10" s="1106"/>
      <c r="FY10" s="1106"/>
      <c r="FZ10" s="1106"/>
      <c r="GA10" s="1106"/>
      <c r="GB10" s="1106"/>
      <c r="GC10" s="1106"/>
      <c r="GD10" s="1106"/>
      <c r="GE10" s="1106"/>
      <c r="GF10" s="1106"/>
      <c r="GG10" s="1106"/>
      <c r="GH10" s="1106"/>
      <c r="GI10" s="1106"/>
      <c r="GJ10" s="1106"/>
      <c r="GK10" s="1106"/>
      <c r="GL10" s="1106"/>
      <c r="GM10" s="1106"/>
      <c r="GN10" s="1106"/>
      <c r="GO10" s="1106"/>
      <c r="GP10" s="1106"/>
      <c r="GQ10" s="1106"/>
      <c r="GR10" s="1106"/>
      <c r="GS10" s="1106"/>
      <c r="GT10" s="1106"/>
      <c r="GU10" s="1106"/>
      <c r="GV10" s="1106"/>
      <c r="GW10" s="1106"/>
      <c r="GX10" s="1106"/>
      <c r="GY10" s="1106"/>
      <c r="GZ10" s="1106"/>
      <c r="HA10" s="1106"/>
      <c r="HB10" s="1106"/>
      <c r="HC10" s="1106"/>
      <c r="HD10" s="1106"/>
      <c r="HE10" s="1106"/>
      <c r="HF10" s="1106"/>
      <c r="HG10" s="1106"/>
      <c r="HH10" s="1106"/>
    </row>
    <row r="11" spans="1:216" s="1275" customFormat="1" ht="24.75" customHeight="1">
      <c r="A11" s="1272" t="s">
        <v>524</v>
      </c>
      <c r="B11" s="1270" t="s">
        <v>923</v>
      </c>
      <c r="C11" s="1273">
        <v>98564</v>
      </c>
      <c r="D11" s="1273">
        <v>51455</v>
      </c>
      <c r="E11" s="1273">
        <v>0</v>
      </c>
      <c r="F11" s="1273">
        <v>32813</v>
      </c>
      <c r="G11" s="1273">
        <v>98437</v>
      </c>
      <c r="H11" s="1273">
        <v>0</v>
      </c>
      <c r="I11" s="1273">
        <v>0</v>
      </c>
      <c r="J11" s="1273">
        <v>6701</v>
      </c>
      <c r="K11" s="1273">
        <v>4549</v>
      </c>
      <c r="L11" s="1273">
        <v>4467</v>
      </c>
      <c r="M11" s="1273">
        <v>3033</v>
      </c>
      <c r="N11" s="1273">
        <v>0</v>
      </c>
      <c r="O11" s="1274"/>
      <c r="P11" s="1274"/>
      <c r="Q11" s="1274"/>
      <c r="R11" s="1274"/>
      <c r="S11" s="1274"/>
      <c r="T11" s="1274"/>
      <c r="U11" s="1274"/>
      <c r="V11" s="1274"/>
      <c r="W11" s="1274"/>
      <c r="X11" s="1274"/>
      <c r="Y11" s="1274"/>
      <c r="Z11" s="1274"/>
      <c r="AA11" s="1274"/>
      <c r="AB11" s="1274"/>
      <c r="AC11" s="1274"/>
      <c r="AD11" s="1274"/>
      <c r="AE11" s="1274"/>
      <c r="AF11" s="1274"/>
      <c r="AG11" s="1274"/>
      <c r="AH11" s="1274"/>
      <c r="AI11" s="1274"/>
      <c r="AJ11" s="1274"/>
      <c r="AK11" s="1274"/>
      <c r="AL11" s="1274"/>
      <c r="AM11" s="1274"/>
      <c r="AN11" s="1274"/>
      <c r="AO11" s="1274"/>
      <c r="AP11" s="1274"/>
      <c r="AQ11" s="1274"/>
      <c r="AR11" s="1274"/>
      <c r="AS11" s="1274"/>
      <c r="AT11" s="1274"/>
      <c r="AU11" s="1274"/>
      <c r="AV11" s="1274"/>
      <c r="AW11" s="1274"/>
      <c r="AX11" s="1274"/>
      <c r="AY11" s="1274"/>
      <c r="AZ11" s="1274"/>
      <c r="BA11" s="1274"/>
      <c r="BB11" s="1274"/>
      <c r="BC11" s="1274"/>
      <c r="BD11" s="1274"/>
      <c r="BE11" s="1274"/>
      <c r="BF11" s="1274"/>
      <c r="BG11" s="1274"/>
      <c r="BH11" s="1274"/>
      <c r="BI11" s="1274"/>
      <c r="BJ11" s="1274"/>
      <c r="BK11" s="1274"/>
      <c r="BL11" s="1274"/>
      <c r="BM11" s="1274"/>
      <c r="BN11" s="1274"/>
      <c r="BO11" s="1274"/>
      <c r="BP11" s="1274"/>
      <c r="BQ11" s="1274"/>
      <c r="BR11" s="1274"/>
      <c r="BS11" s="1274"/>
      <c r="BT11" s="1274"/>
      <c r="BU11" s="1274"/>
      <c r="BV11" s="1274"/>
      <c r="BW11" s="1274"/>
      <c r="BX11" s="1274"/>
      <c r="BY11" s="1274"/>
      <c r="BZ11" s="1274"/>
      <c r="CA11" s="1274"/>
      <c r="CB11" s="1274"/>
      <c r="CC11" s="1274"/>
      <c r="CD11" s="1274"/>
      <c r="CE11" s="1274"/>
      <c r="CF11" s="1274"/>
      <c r="CG11" s="1274"/>
      <c r="CH11" s="1274"/>
      <c r="CI11" s="1274"/>
      <c r="CJ11" s="1274"/>
      <c r="CK11" s="1274"/>
      <c r="CL11" s="1274"/>
      <c r="CM11" s="1274"/>
      <c r="CN11" s="1274"/>
      <c r="CO11" s="1274"/>
      <c r="CP11" s="1274"/>
      <c r="CQ11" s="1274"/>
      <c r="CR11" s="1274"/>
      <c r="CS11" s="1274"/>
      <c r="CT11" s="1274"/>
      <c r="CU11" s="1274"/>
      <c r="CV11" s="1274"/>
      <c r="CW11" s="1274"/>
      <c r="CX11" s="1274"/>
      <c r="CY11" s="1274"/>
      <c r="CZ11" s="1274"/>
      <c r="DA11" s="1274"/>
      <c r="DB11" s="1274"/>
      <c r="DC11" s="1274"/>
      <c r="DD11" s="1274"/>
      <c r="DE11" s="1274"/>
      <c r="DF11" s="1274"/>
      <c r="DG11" s="1274"/>
      <c r="DH11" s="1274"/>
      <c r="DI11" s="1274"/>
      <c r="DJ11" s="1274"/>
      <c r="DK11" s="1274"/>
      <c r="DL11" s="1274"/>
      <c r="DM11" s="1274"/>
      <c r="DN11" s="1274"/>
      <c r="DO11" s="1274"/>
      <c r="DP11" s="1274"/>
      <c r="DQ11" s="1274"/>
      <c r="DR11" s="1274"/>
      <c r="DS11" s="1274"/>
      <c r="DT11" s="1274"/>
      <c r="DU11" s="1274"/>
      <c r="DV11" s="1274"/>
      <c r="DW11" s="1274"/>
      <c r="DX11" s="1274"/>
      <c r="DY11" s="1274"/>
      <c r="DZ11" s="1274"/>
      <c r="EA11" s="1274"/>
      <c r="EB11" s="1274"/>
      <c r="EC11" s="1274"/>
      <c r="ED11" s="1274"/>
      <c r="EE11" s="1274"/>
      <c r="EF11" s="1274"/>
      <c r="EG11" s="1274"/>
      <c r="EH11" s="1274"/>
      <c r="EI11" s="1274"/>
      <c r="EJ11" s="1274"/>
      <c r="EK11" s="1274"/>
      <c r="EL11" s="1274"/>
      <c r="EM11" s="1274"/>
      <c r="EN11" s="1274"/>
      <c r="EO11" s="1274"/>
      <c r="EP11" s="1274"/>
      <c r="EQ11" s="1274"/>
      <c r="ER11" s="1274"/>
      <c r="ES11" s="1274"/>
      <c r="ET11" s="1274"/>
      <c r="EU11" s="1274"/>
      <c r="EV11" s="1274"/>
      <c r="EW11" s="1274"/>
      <c r="EX11" s="1274"/>
      <c r="EY11" s="1274"/>
      <c r="EZ11" s="1274"/>
      <c r="FA11" s="1274"/>
      <c r="FB11" s="1274"/>
      <c r="FC11" s="1274"/>
      <c r="FD11" s="1274"/>
      <c r="FE11" s="1274"/>
      <c r="FF11" s="1274"/>
      <c r="FG11" s="1274"/>
      <c r="FH11" s="1274"/>
      <c r="FI11" s="1274"/>
      <c r="FJ11" s="1274"/>
      <c r="FK11" s="1274"/>
      <c r="FL11" s="1274"/>
      <c r="FM11" s="1274"/>
      <c r="FN11" s="1274"/>
      <c r="FO11" s="1274"/>
      <c r="FP11" s="1274"/>
      <c r="FQ11" s="1274"/>
      <c r="FR11" s="1274"/>
      <c r="FS11" s="1274"/>
      <c r="FT11" s="1274"/>
      <c r="FU11" s="1274"/>
      <c r="FV11" s="1274"/>
      <c r="FW11" s="1274"/>
      <c r="FX11" s="1274"/>
      <c r="FY11" s="1274"/>
      <c r="FZ11" s="1274"/>
      <c r="GA11" s="1274"/>
      <c r="GB11" s="1274"/>
      <c r="GC11" s="1274"/>
      <c r="GD11" s="1274"/>
      <c r="GE11" s="1274"/>
      <c r="GF11" s="1274"/>
      <c r="GG11" s="1274"/>
      <c r="GH11" s="1274"/>
      <c r="GI11" s="1274"/>
      <c r="GJ11" s="1274"/>
      <c r="GK11" s="1274"/>
      <c r="GL11" s="1274"/>
      <c r="GM11" s="1274"/>
      <c r="GN11" s="1274"/>
      <c r="GO11" s="1274"/>
      <c r="GP11" s="1274"/>
      <c r="GQ11" s="1274"/>
      <c r="GR11" s="1274"/>
      <c r="GS11" s="1274"/>
      <c r="GT11" s="1274"/>
      <c r="GU11" s="1274"/>
      <c r="GV11" s="1274"/>
      <c r="GW11" s="1274"/>
      <c r="GX11" s="1274"/>
      <c r="GY11" s="1274"/>
      <c r="GZ11" s="1274"/>
      <c r="HA11" s="1274"/>
      <c r="HB11" s="1274"/>
      <c r="HC11" s="1274"/>
      <c r="HD11" s="1274"/>
      <c r="HE11" s="1274"/>
      <c r="HF11" s="1274"/>
      <c r="HG11" s="1274"/>
      <c r="HH11" s="1274"/>
    </row>
    <row r="12" spans="1:216" s="1276" customFormat="1" ht="24.75" customHeight="1">
      <c r="A12" s="1272" t="s">
        <v>525</v>
      </c>
      <c r="B12" s="1270" t="s">
        <v>34</v>
      </c>
      <c r="C12" s="1273">
        <v>0</v>
      </c>
      <c r="D12" s="1273">
        <v>5365</v>
      </c>
      <c r="E12" s="1273">
        <v>875</v>
      </c>
      <c r="F12" s="1273">
        <v>0</v>
      </c>
      <c r="G12" s="1273">
        <v>0</v>
      </c>
      <c r="H12" s="1273">
        <v>6240</v>
      </c>
      <c r="I12" s="1273">
        <v>0</v>
      </c>
      <c r="J12" s="1273">
        <v>0</v>
      </c>
      <c r="K12" s="1273">
        <v>0</v>
      </c>
      <c r="L12" s="1273">
        <v>0</v>
      </c>
      <c r="M12" s="1273">
        <v>0</v>
      </c>
      <c r="N12" s="1273">
        <v>0</v>
      </c>
      <c r="O12" s="1274"/>
      <c r="P12" s="1274"/>
      <c r="Q12" s="1274"/>
      <c r="R12" s="1274"/>
      <c r="S12" s="1274"/>
      <c r="T12" s="1274"/>
      <c r="U12" s="1274"/>
      <c r="V12" s="1274"/>
      <c r="W12" s="1274"/>
      <c r="X12" s="1274"/>
      <c r="Y12" s="1274"/>
      <c r="Z12" s="1274"/>
      <c r="AA12" s="1274"/>
      <c r="AB12" s="1274"/>
      <c r="AC12" s="1274"/>
      <c r="AD12" s="1274"/>
      <c r="AE12" s="1274"/>
      <c r="AF12" s="1274"/>
      <c r="AG12" s="1274"/>
      <c r="AH12" s="1274"/>
      <c r="AI12" s="1274"/>
      <c r="AJ12" s="1274"/>
      <c r="AK12" s="1274"/>
      <c r="AL12" s="1274"/>
      <c r="AM12" s="1274"/>
      <c r="AN12" s="1274"/>
      <c r="AO12" s="1274"/>
      <c r="AP12" s="1274"/>
      <c r="AQ12" s="1274"/>
      <c r="AR12" s="1274"/>
      <c r="AS12" s="1274"/>
      <c r="AT12" s="1274"/>
      <c r="AU12" s="1274"/>
      <c r="AV12" s="1274"/>
      <c r="AW12" s="1274"/>
      <c r="AX12" s="1274"/>
      <c r="AY12" s="1274"/>
      <c r="AZ12" s="1274"/>
      <c r="BA12" s="1274"/>
      <c r="BB12" s="1274"/>
      <c r="BC12" s="1274"/>
      <c r="BD12" s="1274"/>
      <c r="BE12" s="1274"/>
      <c r="BF12" s="1274"/>
      <c r="BG12" s="1274"/>
      <c r="BH12" s="1274"/>
      <c r="BI12" s="1274"/>
      <c r="BJ12" s="1274"/>
      <c r="BK12" s="1274"/>
      <c r="BL12" s="1274"/>
      <c r="BM12" s="1274"/>
      <c r="BN12" s="1274"/>
      <c r="BO12" s="1274"/>
      <c r="BP12" s="1274"/>
      <c r="BQ12" s="1274"/>
      <c r="BR12" s="1274"/>
      <c r="BS12" s="1274"/>
      <c r="BT12" s="1274"/>
      <c r="BU12" s="1274"/>
      <c r="BV12" s="1274"/>
      <c r="BW12" s="1274"/>
      <c r="BX12" s="1274"/>
      <c r="BY12" s="1274"/>
      <c r="BZ12" s="1274"/>
      <c r="CA12" s="1274"/>
      <c r="CB12" s="1274"/>
      <c r="CC12" s="1274"/>
      <c r="CD12" s="1274"/>
      <c r="CE12" s="1274"/>
      <c r="CF12" s="1274"/>
      <c r="CG12" s="1274"/>
      <c r="CH12" s="1274"/>
      <c r="CI12" s="1274"/>
      <c r="CJ12" s="1274"/>
      <c r="CK12" s="1274"/>
      <c r="CL12" s="1274"/>
      <c r="CM12" s="1274"/>
      <c r="CN12" s="1274"/>
      <c r="CO12" s="1274"/>
      <c r="CP12" s="1274"/>
      <c r="CQ12" s="1274"/>
      <c r="CR12" s="1274"/>
      <c r="CS12" s="1274"/>
      <c r="CT12" s="1274"/>
      <c r="CU12" s="1274"/>
      <c r="CV12" s="1274"/>
      <c r="CW12" s="1274"/>
      <c r="CX12" s="1274"/>
      <c r="CY12" s="1274"/>
      <c r="CZ12" s="1274"/>
      <c r="DA12" s="1274"/>
      <c r="DB12" s="1274"/>
      <c r="DC12" s="1274"/>
      <c r="DD12" s="1274"/>
      <c r="DE12" s="1274"/>
      <c r="DF12" s="1274"/>
      <c r="DG12" s="1274"/>
      <c r="DH12" s="1274"/>
      <c r="DI12" s="1274"/>
      <c r="DJ12" s="1274"/>
      <c r="DK12" s="1274"/>
      <c r="DL12" s="1274"/>
      <c r="DM12" s="1274"/>
      <c r="DN12" s="1274"/>
      <c r="DO12" s="1274"/>
      <c r="DP12" s="1274"/>
      <c r="DQ12" s="1274"/>
      <c r="DR12" s="1274"/>
      <c r="DS12" s="1274"/>
      <c r="DT12" s="1274"/>
      <c r="DU12" s="1274"/>
      <c r="DV12" s="1274"/>
      <c r="DW12" s="1274"/>
      <c r="DX12" s="1274"/>
      <c r="DY12" s="1274"/>
      <c r="DZ12" s="1274"/>
      <c r="EA12" s="1274"/>
      <c r="EB12" s="1274"/>
      <c r="EC12" s="1274"/>
      <c r="ED12" s="1274"/>
      <c r="EE12" s="1274"/>
      <c r="EF12" s="1274"/>
      <c r="EG12" s="1274"/>
      <c r="EH12" s="1274"/>
      <c r="EI12" s="1274"/>
      <c r="EJ12" s="1274"/>
      <c r="EK12" s="1274"/>
      <c r="EL12" s="1274"/>
      <c r="EM12" s="1274"/>
      <c r="EN12" s="1274"/>
      <c r="EO12" s="1274"/>
      <c r="EP12" s="1274"/>
      <c r="EQ12" s="1274"/>
      <c r="ER12" s="1274"/>
      <c r="ES12" s="1274"/>
      <c r="ET12" s="1274"/>
      <c r="EU12" s="1274"/>
      <c r="EV12" s="1274"/>
      <c r="EW12" s="1274"/>
      <c r="EX12" s="1274"/>
      <c r="EY12" s="1274"/>
      <c r="EZ12" s="1274"/>
      <c r="FA12" s="1274"/>
      <c r="FB12" s="1274"/>
      <c r="FC12" s="1274"/>
      <c r="FD12" s="1274"/>
      <c r="FE12" s="1274"/>
      <c r="FF12" s="1274"/>
      <c r="FG12" s="1274"/>
      <c r="FH12" s="1274"/>
      <c r="FI12" s="1274"/>
      <c r="FJ12" s="1274"/>
      <c r="FK12" s="1274"/>
      <c r="FL12" s="1274"/>
      <c r="FM12" s="1274"/>
      <c r="FN12" s="1274"/>
      <c r="FO12" s="1274"/>
      <c r="FP12" s="1274"/>
      <c r="FQ12" s="1274"/>
      <c r="FR12" s="1274"/>
      <c r="FS12" s="1274"/>
      <c r="FT12" s="1274"/>
      <c r="FU12" s="1274"/>
      <c r="FV12" s="1274"/>
      <c r="FW12" s="1274"/>
      <c r="FX12" s="1274"/>
      <c r="FY12" s="1274"/>
      <c r="FZ12" s="1274"/>
      <c r="GA12" s="1274"/>
      <c r="GB12" s="1274"/>
      <c r="GC12" s="1274"/>
      <c r="GD12" s="1274"/>
      <c r="GE12" s="1274"/>
      <c r="GF12" s="1274"/>
      <c r="GG12" s="1274"/>
      <c r="GH12" s="1274"/>
      <c r="GI12" s="1274"/>
      <c r="GJ12" s="1274"/>
      <c r="GK12" s="1274"/>
      <c r="GL12" s="1274"/>
      <c r="GM12" s="1274"/>
      <c r="GN12" s="1274"/>
      <c r="GO12" s="1274"/>
      <c r="GP12" s="1274"/>
      <c r="GQ12" s="1274"/>
      <c r="GR12" s="1274"/>
      <c r="GS12" s="1274"/>
      <c r="GT12" s="1274"/>
      <c r="GU12" s="1274"/>
      <c r="GV12" s="1274"/>
      <c r="GW12" s="1274"/>
      <c r="GX12" s="1274"/>
      <c r="GY12" s="1274"/>
      <c r="GZ12" s="1274"/>
      <c r="HA12" s="1274"/>
      <c r="HB12" s="1274"/>
      <c r="HC12" s="1274"/>
      <c r="HD12" s="1274"/>
      <c r="HE12" s="1274"/>
      <c r="HF12" s="1274"/>
      <c r="HG12" s="1274"/>
      <c r="HH12" s="1274"/>
    </row>
    <row r="13" spans="1:216" s="1276" customFormat="1" ht="24.75" customHeight="1">
      <c r="A13" s="1272" t="s">
        <v>526</v>
      </c>
      <c r="B13" s="1270" t="s">
        <v>35</v>
      </c>
      <c r="C13" s="1273">
        <v>0</v>
      </c>
      <c r="D13" s="1273">
        <v>2007</v>
      </c>
      <c r="E13" s="1273">
        <v>4233</v>
      </c>
      <c r="F13" s="1273">
        <v>0</v>
      </c>
      <c r="G13" s="1273">
        <v>0</v>
      </c>
      <c r="H13" s="1273">
        <v>3640</v>
      </c>
      <c r="I13" s="1273">
        <v>0</v>
      </c>
      <c r="J13" s="1273">
        <v>0</v>
      </c>
      <c r="K13" s="1273">
        <v>0</v>
      </c>
      <c r="L13" s="1273">
        <v>0</v>
      </c>
      <c r="M13" s="1273">
        <v>2007</v>
      </c>
      <c r="N13" s="1273">
        <v>593</v>
      </c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1274"/>
      <c r="AL13" s="1274"/>
      <c r="AM13" s="1274"/>
      <c r="AN13" s="1274"/>
      <c r="AO13" s="1274"/>
      <c r="AP13" s="1274"/>
      <c r="AQ13" s="1274"/>
      <c r="AR13" s="1274"/>
      <c r="AS13" s="1274"/>
      <c r="AT13" s="1274"/>
      <c r="AU13" s="1274"/>
      <c r="AV13" s="1274"/>
      <c r="AW13" s="1274"/>
      <c r="AX13" s="1274"/>
      <c r="AY13" s="1274"/>
      <c r="AZ13" s="1274"/>
      <c r="BA13" s="1274"/>
      <c r="BB13" s="1274"/>
      <c r="BC13" s="1274"/>
      <c r="BD13" s="1274"/>
      <c r="BE13" s="1274"/>
      <c r="BF13" s="1274"/>
      <c r="BG13" s="1274"/>
      <c r="BH13" s="1274"/>
      <c r="BI13" s="1274"/>
      <c r="BJ13" s="1274"/>
      <c r="BK13" s="1274"/>
      <c r="BL13" s="1274"/>
      <c r="BM13" s="1274"/>
      <c r="BN13" s="1274"/>
      <c r="BO13" s="1274"/>
      <c r="BP13" s="1274"/>
      <c r="BQ13" s="1274"/>
      <c r="BR13" s="1274"/>
      <c r="BS13" s="1274"/>
      <c r="BT13" s="1274"/>
      <c r="BU13" s="1274"/>
      <c r="BV13" s="1274"/>
      <c r="BW13" s="1274"/>
      <c r="BX13" s="1274"/>
      <c r="BY13" s="1274"/>
      <c r="BZ13" s="1274"/>
      <c r="CA13" s="1274"/>
      <c r="CB13" s="1274"/>
      <c r="CC13" s="1274"/>
      <c r="CD13" s="1274"/>
      <c r="CE13" s="1274"/>
      <c r="CF13" s="1274"/>
      <c r="CG13" s="1274"/>
      <c r="CH13" s="1274"/>
      <c r="CI13" s="1274"/>
      <c r="CJ13" s="1274"/>
      <c r="CK13" s="1274"/>
      <c r="CL13" s="1274"/>
      <c r="CM13" s="1274"/>
      <c r="CN13" s="1274"/>
      <c r="CO13" s="1274"/>
      <c r="CP13" s="1274"/>
      <c r="CQ13" s="1274"/>
      <c r="CR13" s="1274"/>
      <c r="CS13" s="1274"/>
      <c r="CT13" s="1274"/>
      <c r="CU13" s="1274"/>
      <c r="CV13" s="1274"/>
      <c r="CW13" s="1274"/>
      <c r="CX13" s="1274"/>
      <c r="CY13" s="1274"/>
      <c r="CZ13" s="1274"/>
      <c r="DA13" s="1274"/>
      <c r="DB13" s="1274"/>
      <c r="DC13" s="1274"/>
      <c r="DD13" s="1274"/>
      <c r="DE13" s="1274"/>
      <c r="DF13" s="1274"/>
      <c r="DG13" s="1274"/>
      <c r="DH13" s="1274"/>
      <c r="DI13" s="1274"/>
      <c r="DJ13" s="1274"/>
      <c r="DK13" s="1274"/>
      <c r="DL13" s="1274"/>
      <c r="DM13" s="1274"/>
      <c r="DN13" s="1274"/>
      <c r="DO13" s="1274"/>
      <c r="DP13" s="1274"/>
      <c r="DQ13" s="1274"/>
      <c r="DR13" s="1274"/>
      <c r="DS13" s="1274"/>
      <c r="DT13" s="1274"/>
      <c r="DU13" s="1274"/>
      <c r="DV13" s="1274"/>
      <c r="DW13" s="1274"/>
      <c r="DX13" s="1274"/>
      <c r="DY13" s="1274"/>
      <c r="DZ13" s="1274"/>
      <c r="EA13" s="1274"/>
      <c r="EB13" s="1274"/>
      <c r="EC13" s="1274"/>
      <c r="ED13" s="1274"/>
      <c r="EE13" s="1274"/>
      <c r="EF13" s="1274"/>
      <c r="EG13" s="1274"/>
      <c r="EH13" s="1274"/>
      <c r="EI13" s="1274"/>
      <c r="EJ13" s="1274"/>
      <c r="EK13" s="1274"/>
      <c r="EL13" s="1274"/>
      <c r="EM13" s="1274"/>
      <c r="EN13" s="1274"/>
      <c r="EO13" s="1274"/>
      <c r="EP13" s="1274"/>
      <c r="EQ13" s="1274"/>
      <c r="ER13" s="1274"/>
      <c r="ES13" s="1274"/>
      <c r="ET13" s="1274"/>
      <c r="EU13" s="1274"/>
      <c r="EV13" s="1274"/>
      <c r="EW13" s="1274"/>
      <c r="EX13" s="1274"/>
      <c r="EY13" s="1274"/>
      <c r="EZ13" s="1274"/>
      <c r="FA13" s="1274"/>
      <c r="FB13" s="1274"/>
      <c r="FC13" s="1274"/>
      <c r="FD13" s="1274"/>
      <c r="FE13" s="1274"/>
      <c r="FF13" s="1274"/>
      <c r="FG13" s="1274"/>
      <c r="FH13" s="1274"/>
      <c r="FI13" s="1274"/>
      <c r="FJ13" s="1274"/>
      <c r="FK13" s="1274"/>
      <c r="FL13" s="1274"/>
      <c r="FM13" s="1274"/>
      <c r="FN13" s="1274"/>
      <c r="FO13" s="1274"/>
      <c r="FP13" s="1274"/>
      <c r="FQ13" s="1274"/>
      <c r="FR13" s="1274"/>
      <c r="FS13" s="1274"/>
      <c r="FT13" s="1274"/>
      <c r="FU13" s="1274"/>
      <c r="FV13" s="1274"/>
      <c r="FW13" s="1274"/>
      <c r="FX13" s="1274"/>
      <c r="FY13" s="1274"/>
      <c r="FZ13" s="1274"/>
      <c r="GA13" s="1274"/>
      <c r="GB13" s="1274"/>
      <c r="GC13" s="1274"/>
      <c r="GD13" s="1274"/>
      <c r="GE13" s="1274"/>
      <c r="GF13" s="1274"/>
      <c r="GG13" s="1274"/>
      <c r="GH13" s="1274"/>
      <c r="GI13" s="1274"/>
      <c r="GJ13" s="1274"/>
      <c r="GK13" s="1274"/>
      <c r="GL13" s="1274"/>
      <c r="GM13" s="1274"/>
      <c r="GN13" s="1274"/>
      <c r="GO13" s="1274"/>
      <c r="GP13" s="1274"/>
      <c r="GQ13" s="1274"/>
      <c r="GR13" s="1274"/>
      <c r="GS13" s="1274"/>
      <c r="GT13" s="1274"/>
      <c r="GU13" s="1274"/>
      <c r="GV13" s="1274"/>
      <c r="GW13" s="1274"/>
      <c r="GX13" s="1274"/>
      <c r="GY13" s="1274"/>
      <c r="GZ13" s="1274"/>
      <c r="HA13" s="1274"/>
      <c r="HB13" s="1274"/>
      <c r="HC13" s="1274"/>
      <c r="HD13" s="1274"/>
      <c r="HE13" s="1274"/>
      <c r="HF13" s="1274"/>
      <c r="HG13" s="1274"/>
      <c r="HH13" s="1274"/>
    </row>
    <row r="14" spans="1:216" s="1276" customFormat="1" ht="24.75" customHeight="1">
      <c r="A14" s="1272" t="s">
        <v>729</v>
      </c>
      <c r="B14" s="1271" t="s">
        <v>36</v>
      </c>
      <c r="C14" s="1273">
        <v>0</v>
      </c>
      <c r="D14" s="1273">
        <v>748</v>
      </c>
      <c r="E14" s="1273">
        <v>2535</v>
      </c>
      <c r="F14" s="1273">
        <v>0</v>
      </c>
      <c r="G14" s="1273">
        <v>821</v>
      </c>
      <c r="H14" s="1273">
        <v>2462</v>
      </c>
      <c r="I14" s="1273">
        <v>0</v>
      </c>
      <c r="J14" s="1273">
        <v>0</v>
      </c>
      <c r="K14" s="1273">
        <v>0</v>
      </c>
      <c r="L14" s="1273">
        <v>0</v>
      </c>
      <c r="M14" s="1273">
        <v>0</v>
      </c>
      <c r="N14" s="1273">
        <v>0</v>
      </c>
      <c r="O14" s="1274"/>
      <c r="P14" s="1274"/>
      <c r="Q14" s="1274"/>
      <c r="R14" s="1274"/>
      <c r="S14" s="1274"/>
      <c r="T14" s="1274"/>
      <c r="U14" s="1274"/>
      <c r="V14" s="1274"/>
      <c r="W14" s="1274"/>
      <c r="X14" s="1274"/>
      <c r="Y14" s="1274"/>
      <c r="Z14" s="1274"/>
      <c r="AA14" s="1274"/>
      <c r="AB14" s="1274"/>
      <c r="AC14" s="1274"/>
      <c r="AD14" s="1274"/>
      <c r="AE14" s="1274"/>
      <c r="AF14" s="1274"/>
      <c r="AG14" s="1274"/>
      <c r="AH14" s="1274"/>
      <c r="AI14" s="1274"/>
      <c r="AJ14" s="1274"/>
      <c r="AK14" s="1274"/>
      <c r="AL14" s="1274"/>
      <c r="AM14" s="1274"/>
      <c r="AN14" s="1274"/>
      <c r="AO14" s="1274"/>
      <c r="AP14" s="1274"/>
      <c r="AQ14" s="1274"/>
      <c r="AR14" s="1274"/>
      <c r="AS14" s="1274"/>
      <c r="AT14" s="1274"/>
      <c r="AU14" s="1274"/>
      <c r="AV14" s="1274"/>
      <c r="AW14" s="1274"/>
      <c r="AX14" s="1274"/>
      <c r="AY14" s="1274"/>
      <c r="AZ14" s="1274"/>
      <c r="BA14" s="1274"/>
      <c r="BB14" s="1274"/>
      <c r="BC14" s="1274"/>
      <c r="BD14" s="1274"/>
      <c r="BE14" s="1274"/>
      <c r="BF14" s="1274"/>
      <c r="BG14" s="1274"/>
      <c r="BH14" s="1274"/>
      <c r="BI14" s="1274"/>
      <c r="BJ14" s="1274"/>
      <c r="BK14" s="1274"/>
      <c r="BL14" s="1274"/>
      <c r="BM14" s="1274"/>
      <c r="BN14" s="1274"/>
      <c r="BO14" s="1274"/>
      <c r="BP14" s="1274"/>
      <c r="BQ14" s="1274"/>
      <c r="BR14" s="1274"/>
      <c r="BS14" s="1274"/>
      <c r="BT14" s="1274"/>
      <c r="BU14" s="1274"/>
      <c r="BV14" s="1274"/>
      <c r="BW14" s="1274"/>
      <c r="BX14" s="1274"/>
      <c r="BY14" s="1274"/>
      <c r="BZ14" s="1274"/>
      <c r="CA14" s="1274"/>
      <c r="CB14" s="1274"/>
      <c r="CC14" s="1274"/>
      <c r="CD14" s="1274"/>
      <c r="CE14" s="1274"/>
      <c r="CF14" s="1274"/>
      <c r="CG14" s="1274"/>
      <c r="CH14" s="1274"/>
      <c r="CI14" s="1274"/>
      <c r="CJ14" s="1274"/>
      <c r="CK14" s="1274"/>
      <c r="CL14" s="1274"/>
      <c r="CM14" s="1274"/>
      <c r="CN14" s="1274"/>
      <c r="CO14" s="1274"/>
      <c r="CP14" s="1274"/>
      <c r="CQ14" s="1274"/>
      <c r="CR14" s="1274"/>
      <c r="CS14" s="1274"/>
      <c r="CT14" s="1274"/>
      <c r="CU14" s="1274"/>
      <c r="CV14" s="1274"/>
      <c r="CW14" s="1274"/>
      <c r="CX14" s="1274"/>
      <c r="CY14" s="1274"/>
      <c r="CZ14" s="1274"/>
      <c r="DA14" s="1274"/>
      <c r="DB14" s="1274"/>
      <c r="DC14" s="1274"/>
      <c r="DD14" s="1274"/>
      <c r="DE14" s="1274"/>
      <c r="DF14" s="1274"/>
      <c r="DG14" s="1274"/>
      <c r="DH14" s="1274"/>
      <c r="DI14" s="1274"/>
      <c r="DJ14" s="1274"/>
      <c r="DK14" s="1274"/>
      <c r="DL14" s="1274"/>
      <c r="DM14" s="1274"/>
      <c r="DN14" s="1274"/>
      <c r="DO14" s="1274"/>
      <c r="DP14" s="1274"/>
      <c r="DQ14" s="1274"/>
      <c r="DR14" s="1274"/>
      <c r="DS14" s="1274"/>
      <c r="DT14" s="1274"/>
      <c r="DU14" s="1274"/>
      <c r="DV14" s="1274"/>
      <c r="DW14" s="1274"/>
      <c r="DX14" s="1274"/>
      <c r="DY14" s="1274"/>
      <c r="DZ14" s="1274"/>
      <c r="EA14" s="1274"/>
      <c r="EB14" s="1274"/>
      <c r="EC14" s="1274"/>
      <c r="ED14" s="1274"/>
      <c r="EE14" s="1274"/>
      <c r="EF14" s="1274"/>
      <c r="EG14" s="1274"/>
      <c r="EH14" s="1274"/>
      <c r="EI14" s="1274"/>
      <c r="EJ14" s="1274"/>
      <c r="EK14" s="1274"/>
      <c r="EL14" s="1274"/>
      <c r="EM14" s="1274"/>
      <c r="EN14" s="1274"/>
      <c r="EO14" s="1274"/>
      <c r="EP14" s="1274"/>
      <c r="EQ14" s="1274"/>
      <c r="ER14" s="1274"/>
      <c r="ES14" s="1274"/>
      <c r="ET14" s="1274"/>
      <c r="EU14" s="1274"/>
      <c r="EV14" s="1274"/>
      <c r="EW14" s="1274"/>
      <c r="EX14" s="1274"/>
      <c r="EY14" s="1274"/>
      <c r="EZ14" s="1274"/>
      <c r="FA14" s="1274"/>
      <c r="FB14" s="1274"/>
      <c r="FC14" s="1274"/>
      <c r="FD14" s="1274"/>
      <c r="FE14" s="1274"/>
      <c r="FF14" s="1274"/>
      <c r="FG14" s="1274"/>
      <c r="FH14" s="1274"/>
      <c r="FI14" s="1274"/>
      <c r="FJ14" s="1274"/>
      <c r="FK14" s="1274"/>
      <c r="FL14" s="1274"/>
      <c r="FM14" s="1274"/>
      <c r="FN14" s="1274"/>
      <c r="FO14" s="1274"/>
      <c r="FP14" s="1274"/>
      <c r="FQ14" s="1274"/>
      <c r="FR14" s="1274"/>
      <c r="FS14" s="1274"/>
      <c r="FT14" s="1274"/>
      <c r="FU14" s="1274"/>
      <c r="FV14" s="1274"/>
      <c r="FW14" s="1274"/>
      <c r="FX14" s="1274"/>
      <c r="FY14" s="1274"/>
      <c r="FZ14" s="1274"/>
      <c r="GA14" s="1274"/>
      <c r="GB14" s="1274"/>
      <c r="GC14" s="1274"/>
      <c r="GD14" s="1274"/>
      <c r="GE14" s="1274"/>
      <c r="GF14" s="1274"/>
      <c r="GG14" s="1274"/>
      <c r="GH14" s="1274"/>
      <c r="GI14" s="1274"/>
      <c r="GJ14" s="1274"/>
      <c r="GK14" s="1274"/>
      <c r="GL14" s="1274"/>
      <c r="GM14" s="1274"/>
      <c r="GN14" s="1274"/>
      <c r="GO14" s="1274"/>
      <c r="GP14" s="1274"/>
      <c r="GQ14" s="1274"/>
      <c r="GR14" s="1274"/>
      <c r="GS14" s="1274"/>
      <c r="GT14" s="1274"/>
      <c r="GU14" s="1274"/>
      <c r="GV14" s="1274"/>
      <c r="GW14" s="1274"/>
      <c r="GX14" s="1274"/>
      <c r="GY14" s="1274"/>
      <c r="GZ14" s="1274"/>
      <c r="HA14" s="1274"/>
      <c r="HB14" s="1274"/>
      <c r="HC14" s="1274"/>
      <c r="HD14" s="1274"/>
      <c r="HE14" s="1274"/>
      <c r="HF14" s="1274"/>
      <c r="HG14" s="1274"/>
      <c r="HH14" s="1274"/>
    </row>
    <row r="15" spans="1:216" s="1277" customFormat="1" ht="24.75" customHeight="1">
      <c r="A15" s="1272" t="s">
        <v>730</v>
      </c>
      <c r="B15" s="1270" t="s">
        <v>81</v>
      </c>
      <c r="C15" s="1273">
        <v>0</v>
      </c>
      <c r="D15" s="1273">
        <v>4391</v>
      </c>
      <c r="E15" s="1273">
        <v>27517</v>
      </c>
      <c r="F15" s="1273">
        <v>0</v>
      </c>
      <c r="G15" s="1273">
        <v>0</v>
      </c>
      <c r="H15" s="1273">
        <v>23931</v>
      </c>
      <c r="I15" s="1273">
        <v>0</v>
      </c>
      <c r="J15" s="1273">
        <v>7977</v>
      </c>
      <c r="K15" s="1273">
        <v>0</v>
      </c>
      <c r="L15" s="1273">
        <v>0</v>
      </c>
      <c r="M15" s="1273">
        <v>0</v>
      </c>
      <c r="N15" s="1273">
        <v>0</v>
      </c>
      <c r="O15" s="1274"/>
      <c r="P15" s="1274"/>
      <c r="Q15" s="1274"/>
      <c r="R15" s="1274"/>
      <c r="S15" s="1274"/>
      <c r="T15" s="1274"/>
      <c r="U15" s="1274"/>
      <c r="V15" s="1274"/>
      <c r="W15" s="1274"/>
      <c r="X15" s="1274"/>
      <c r="Y15" s="1274"/>
      <c r="Z15" s="1274"/>
      <c r="AA15" s="1274"/>
      <c r="AB15" s="1274"/>
      <c r="AC15" s="1274"/>
      <c r="AD15" s="1274"/>
      <c r="AE15" s="1274"/>
      <c r="AF15" s="1274"/>
      <c r="AG15" s="1274"/>
      <c r="AH15" s="1274"/>
      <c r="AI15" s="1274"/>
      <c r="AJ15" s="1274"/>
      <c r="AK15" s="1274"/>
      <c r="AL15" s="1274"/>
      <c r="AM15" s="1274"/>
      <c r="AN15" s="1274"/>
      <c r="AO15" s="1274"/>
      <c r="AP15" s="1274"/>
      <c r="AQ15" s="1274"/>
      <c r="AR15" s="1274"/>
      <c r="AS15" s="1274"/>
      <c r="AT15" s="1274"/>
      <c r="AU15" s="1274"/>
      <c r="AV15" s="1274"/>
      <c r="AW15" s="1274"/>
      <c r="AX15" s="1274"/>
      <c r="AY15" s="1274"/>
      <c r="AZ15" s="1274"/>
      <c r="BA15" s="1274"/>
      <c r="BB15" s="1274"/>
      <c r="BC15" s="1274"/>
      <c r="BD15" s="1274"/>
      <c r="BE15" s="1274"/>
      <c r="BF15" s="1274"/>
      <c r="BG15" s="1274"/>
      <c r="BH15" s="1274"/>
      <c r="BI15" s="1274"/>
      <c r="BJ15" s="1274"/>
      <c r="BK15" s="1274"/>
      <c r="BL15" s="1274"/>
      <c r="BM15" s="1274"/>
      <c r="BN15" s="1274"/>
      <c r="BO15" s="1274"/>
      <c r="BP15" s="1274"/>
      <c r="BQ15" s="1274"/>
      <c r="BR15" s="1274"/>
      <c r="BS15" s="1274"/>
      <c r="BT15" s="1274"/>
      <c r="BU15" s="1274"/>
      <c r="BV15" s="1274"/>
      <c r="BW15" s="1274"/>
      <c r="BX15" s="1274"/>
      <c r="BY15" s="1274"/>
      <c r="BZ15" s="1274"/>
      <c r="CA15" s="1274"/>
      <c r="CB15" s="1274"/>
      <c r="CC15" s="1274"/>
      <c r="CD15" s="1274"/>
      <c r="CE15" s="1274"/>
      <c r="CF15" s="1274"/>
      <c r="CG15" s="1274"/>
      <c r="CH15" s="1274"/>
      <c r="CI15" s="1274"/>
      <c r="CJ15" s="1274"/>
      <c r="CK15" s="1274"/>
      <c r="CL15" s="1274"/>
      <c r="CM15" s="1274"/>
      <c r="CN15" s="1274"/>
      <c r="CO15" s="1274"/>
      <c r="CP15" s="1274"/>
      <c r="CQ15" s="1274"/>
      <c r="CR15" s="1274"/>
      <c r="CS15" s="1274"/>
      <c r="CT15" s="1274"/>
      <c r="CU15" s="1274"/>
      <c r="CV15" s="1274"/>
      <c r="CW15" s="1274"/>
      <c r="CX15" s="1274"/>
      <c r="CY15" s="1274"/>
      <c r="CZ15" s="1274"/>
      <c r="DA15" s="1274"/>
      <c r="DB15" s="1274"/>
      <c r="DC15" s="1274"/>
      <c r="DD15" s="1274"/>
      <c r="DE15" s="1274"/>
      <c r="DF15" s="1274"/>
      <c r="DG15" s="1274"/>
      <c r="DH15" s="1274"/>
      <c r="DI15" s="1274"/>
      <c r="DJ15" s="1274"/>
      <c r="DK15" s="1274"/>
      <c r="DL15" s="1274"/>
      <c r="DM15" s="1274"/>
      <c r="DN15" s="1274"/>
      <c r="DO15" s="1274"/>
      <c r="DP15" s="1274"/>
      <c r="DQ15" s="1274"/>
      <c r="DR15" s="1274"/>
      <c r="DS15" s="1274"/>
      <c r="DT15" s="1274"/>
      <c r="DU15" s="1274"/>
      <c r="DV15" s="1274"/>
      <c r="DW15" s="1274"/>
      <c r="DX15" s="1274"/>
      <c r="DY15" s="1274"/>
      <c r="DZ15" s="1274"/>
      <c r="EA15" s="1274"/>
      <c r="EB15" s="1274"/>
      <c r="EC15" s="1274"/>
      <c r="ED15" s="1274"/>
      <c r="EE15" s="1274"/>
      <c r="EF15" s="1274"/>
      <c r="EG15" s="1274"/>
      <c r="EH15" s="1274"/>
      <c r="EI15" s="1274"/>
      <c r="EJ15" s="1274"/>
      <c r="EK15" s="1274"/>
      <c r="EL15" s="1274"/>
      <c r="EM15" s="1274"/>
      <c r="EN15" s="1274"/>
      <c r="EO15" s="1274"/>
      <c r="EP15" s="1274"/>
      <c r="EQ15" s="1274"/>
      <c r="ER15" s="1274"/>
      <c r="ES15" s="1274"/>
      <c r="ET15" s="1274"/>
      <c r="EU15" s="1274"/>
      <c r="EV15" s="1274"/>
      <c r="EW15" s="1274"/>
      <c r="EX15" s="1274"/>
      <c r="EY15" s="1274"/>
      <c r="EZ15" s="1274"/>
      <c r="FA15" s="1274"/>
      <c r="FB15" s="1274"/>
      <c r="FC15" s="1274"/>
      <c r="FD15" s="1274"/>
      <c r="FE15" s="1274"/>
      <c r="FF15" s="1274"/>
      <c r="FG15" s="1274"/>
      <c r="FH15" s="1274"/>
      <c r="FI15" s="1274"/>
      <c r="FJ15" s="1274"/>
      <c r="FK15" s="1274"/>
      <c r="FL15" s="1274"/>
      <c r="FM15" s="1274"/>
      <c r="FN15" s="1274"/>
      <c r="FO15" s="1274"/>
      <c r="FP15" s="1274"/>
      <c r="FQ15" s="1274"/>
      <c r="FR15" s="1274"/>
      <c r="FS15" s="1274"/>
      <c r="FT15" s="1274"/>
      <c r="FU15" s="1274"/>
      <c r="FV15" s="1274"/>
      <c r="FW15" s="1274"/>
      <c r="FX15" s="1274"/>
      <c r="FY15" s="1274"/>
      <c r="FZ15" s="1274"/>
      <c r="GA15" s="1274"/>
      <c r="GB15" s="1274"/>
      <c r="GC15" s="1274"/>
      <c r="GD15" s="1274"/>
      <c r="GE15" s="1274"/>
      <c r="GF15" s="1274"/>
      <c r="GG15" s="1274"/>
      <c r="GH15" s="1274"/>
      <c r="GI15" s="1274"/>
      <c r="GJ15" s="1274"/>
      <c r="GK15" s="1274"/>
      <c r="GL15" s="1274"/>
      <c r="GM15" s="1274"/>
      <c r="GN15" s="1274"/>
      <c r="GO15" s="1274"/>
      <c r="GP15" s="1274"/>
      <c r="GQ15" s="1274"/>
      <c r="GR15" s="1274"/>
      <c r="GS15" s="1274"/>
      <c r="GT15" s="1274"/>
      <c r="GU15" s="1274"/>
      <c r="GV15" s="1274"/>
      <c r="GW15" s="1274"/>
      <c r="GX15" s="1274"/>
      <c r="GY15" s="1274"/>
      <c r="GZ15" s="1274"/>
      <c r="HA15" s="1274"/>
      <c r="HB15" s="1274"/>
      <c r="HC15" s="1274"/>
      <c r="HD15" s="1274"/>
      <c r="HE15" s="1274"/>
      <c r="HF15" s="1274"/>
      <c r="HG15" s="1274"/>
      <c r="HH15" s="1274"/>
    </row>
    <row r="16" spans="1:14" s="1274" customFormat="1" ht="42" customHeight="1">
      <c r="A16" s="1272" t="s">
        <v>731</v>
      </c>
      <c r="B16" s="1270" t="s">
        <v>99</v>
      </c>
      <c r="C16" s="1273">
        <v>0</v>
      </c>
      <c r="D16" s="1273">
        <v>1094</v>
      </c>
      <c r="E16" s="1273">
        <v>641</v>
      </c>
      <c r="F16" s="1273">
        <v>0</v>
      </c>
      <c r="G16" s="1273">
        <v>0</v>
      </c>
      <c r="H16" s="1273">
        <v>1301</v>
      </c>
      <c r="I16" s="1273">
        <v>0</v>
      </c>
      <c r="J16" s="1273">
        <v>434</v>
      </c>
      <c r="K16" s="1273">
        <v>0</v>
      </c>
      <c r="L16" s="1273">
        <v>0</v>
      </c>
      <c r="M16" s="1273">
        <v>0</v>
      </c>
      <c r="N16" s="1273">
        <v>0</v>
      </c>
    </row>
    <row r="17" spans="1:14" s="1274" customFormat="1" ht="52.5" customHeight="1">
      <c r="A17" s="1272" t="s">
        <v>732</v>
      </c>
      <c r="B17" s="1270" t="s">
        <v>919</v>
      </c>
      <c r="C17" s="1273">
        <v>0</v>
      </c>
      <c r="D17" s="1273">
        <v>2383</v>
      </c>
      <c r="E17" s="1273">
        <v>3721</v>
      </c>
      <c r="F17" s="1273">
        <v>0</v>
      </c>
      <c r="G17" s="1273">
        <v>0</v>
      </c>
      <c r="H17" s="1273">
        <v>4577</v>
      </c>
      <c r="I17" s="1273">
        <v>0</v>
      </c>
      <c r="J17" s="1273">
        <v>1527</v>
      </c>
      <c r="K17" s="1273">
        <v>0</v>
      </c>
      <c r="L17" s="1273">
        <v>0</v>
      </c>
      <c r="M17" s="1273">
        <v>0</v>
      </c>
      <c r="N17" s="1273">
        <v>0</v>
      </c>
    </row>
    <row r="18" spans="1:216" s="1282" customFormat="1" ht="19.5" customHeight="1">
      <c r="A18" s="1278"/>
      <c r="B18" s="1279" t="s">
        <v>37</v>
      </c>
      <c r="C18" s="1280">
        <f aca="true" t="shared" si="0" ref="C18:N18">SUM(C11:C17)</f>
        <v>98564</v>
      </c>
      <c r="D18" s="1280">
        <f t="shared" si="0"/>
        <v>67443</v>
      </c>
      <c r="E18" s="1280">
        <f t="shared" si="0"/>
        <v>39522</v>
      </c>
      <c r="F18" s="1280">
        <f t="shared" si="0"/>
        <v>32813</v>
      </c>
      <c r="G18" s="1280">
        <f t="shared" si="0"/>
        <v>99258</v>
      </c>
      <c r="H18" s="1280">
        <f t="shared" si="0"/>
        <v>42151</v>
      </c>
      <c r="I18" s="1280">
        <f t="shared" si="0"/>
        <v>0</v>
      </c>
      <c r="J18" s="1280">
        <f t="shared" si="0"/>
        <v>16639</v>
      </c>
      <c r="K18" s="1280">
        <f t="shared" si="0"/>
        <v>4549</v>
      </c>
      <c r="L18" s="1280">
        <f t="shared" si="0"/>
        <v>4467</v>
      </c>
      <c r="M18" s="1280">
        <f t="shared" si="0"/>
        <v>5040</v>
      </c>
      <c r="N18" s="1280">
        <f t="shared" si="0"/>
        <v>593</v>
      </c>
      <c r="O18" s="1281"/>
      <c r="P18" s="1281"/>
      <c r="Q18" s="1281"/>
      <c r="R18" s="1281"/>
      <c r="S18" s="1281"/>
      <c r="T18" s="1281"/>
      <c r="U18" s="1281"/>
      <c r="V18" s="1281"/>
      <c r="W18" s="1281"/>
      <c r="X18" s="1281"/>
      <c r="Y18" s="1281"/>
      <c r="Z18" s="1281"/>
      <c r="AA18" s="1281"/>
      <c r="AB18" s="1281"/>
      <c r="AC18" s="1281"/>
      <c r="AD18" s="1281"/>
      <c r="AE18" s="1281"/>
      <c r="AF18" s="1281"/>
      <c r="AG18" s="1281"/>
      <c r="AH18" s="1281"/>
      <c r="AI18" s="1281"/>
      <c r="AJ18" s="1281"/>
      <c r="AK18" s="1281"/>
      <c r="AL18" s="1281"/>
      <c r="AM18" s="1281"/>
      <c r="AN18" s="1281"/>
      <c r="AO18" s="1281"/>
      <c r="AP18" s="1281"/>
      <c r="AQ18" s="1281"/>
      <c r="AR18" s="1281"/>
      <c r="AS18" s="1281"/>
      <c r="AT18" s="1281"/>
      <c r="AU18" s="1281"/>
      <c r="AV18" s="1281"/>
      <c r="AW18" s="1281"/>
      <c r="AX18" s="1281"/>
      <c r="AY18" s="1281"/>
      <c r="AZ18" s="1281"/>
      <c r="BA18" s="1281"/>
      <c r="BB18" s="1281"/>
      <c r="BC18" s="1281"/>
      <c r="BD18" s="1281"/>
      <c r="BE18" s="1281"/>
      <c r="BF18" s="1281"/>
      <c r="BG18" s="1281"/>
      <c r="BH18" s="1281"/>
      <c r="BI18" s="1281"/>
      <c r="BJ18" s="1281"/>
      <c r="BK18" s="1281"/>
      <c r="BL18" s="1281"/>
      <c r="BM18" s="1281"/>
      <c r="BN18" s="1281"/>
      <c r="BO18" s="1281"/>
      <c r="BP18" s="1281"/>
      <c r="BQ18" s="1281"/>
      <c r="BR18" s="1281"/>
      <c r="BS18" s="1281"/>
      <c r="BT18" s="1281"/>
      <c r="BU18" s="1281"/>
      <c r="BV18" s="1281"/>
      <c r="BW18" s="1281"/>
      <c r="BX18" s="1281"/>
      <c r="BY18" s="1281"/>
      <c r="BZ18" s="1281"/>
      <c r="CA18" s="1281"/>
      <c r="CB18" s="1281"/>
      <c r="CC18" s="1281"/>
      <c r="CD18" s="1281"/>
      <c r="CE18" s="1281"/>
      <c r="CF18" s="1281"/>
      <c r="CG18" s="1281"/>
      <c r="CH18" s="1281"/>
      <c r="CI18" s="1281"/>
      <c r="CJ18" s="1281"/>
      <c r="CK18" s="1281"/>
      <c r="CL18" s="1281"/>
      <c r="CM18" s="1281"/>
      <c r="CN18" s="1281"/>
      <c r="CO18" s="1281"/>
      <c r="CP18" s="1281"/>
      <c r="CQ18" s="1281"/>
      <c r="CR18" s="1281"/>
      <c r="CS18" s="1281"/>
      <c r="CT18" s="1281"/>
      <c r="CU18" s="1281"/>
      <c r="CV18" s="1281"/>
      <c r="CW18" s="1281"/>
      <c r="CX18" s="1281"/>
      <c r="CY18" s="1281"/>
      <c r="CZ18" s="1281"/>
      <c r="DA18" s="1281"/>
      <c r="DB18" s="1281"/>
      <c r="DC18" s="1281"/>
      <c r="DD18" s="1281"/>
      <c r="DE18" s="1281"/>
      <c r="DF18" s="1281"/>
      <c r="DG18" s="1281"/>
      <c r="DH18" s="1281"/>
      <c r="DI18" s="1281"/>
      <c r="DJ18" s="1281"/>
      <c r="DK18" s="1281"/>
      <c r="DL18" s="1281"/>
      <c r="DM18" s="1281"/>
      <c r="DN18" s="1281"/>
      <c r="DO18" s="1281"/>
      <c r="DP18" s="1281"/>
      <c r="DQ18" s="1281"/>
      <c r="DR18" s="1281"/>
      <c r="DS18" s="1281"/>
      <c r="DT18" s="1281"/>
      <c r="DU18" s="1281"/>
      <c r="DV18" s="1281"/>
      <c r="DW18" s="1281"/>
      <c r="DX18" s="1281"/>
      <c r="DY18" s="1281"/>
      <c r="DZ18" s="1281"/>
      <c r="EA18" s="1281"/>
      <c r="EB18" s="1281"/>
      <c r="EC18" s="1281"/>
      <c r="ED18" s="1281"/>
      <c r="EE18" s="1281"/>
      <c r="EF18" s="1281"/>
      <c r="EG18" s="1281"/>
      <c r="EH18" s="1281"/>
      <c r="EI18" s="1281"/>
      <c r="EJ18" s="1281"/>
      <c r="EK18" s="1281"/>
      <c r="EL18" s="1281"/>
      <c r="EM18" s="1281"/>
      <c r="EN18" s="1281"/>
      <c r="EO18" s="1281"/>
      <c r="EP18" s="1281"/>
      <c r="EQ18" s="1281"/>
      <c r="ER18" s="1281"/>
      <c r="ES18" s="1281"/>
      <c r="ET18" s="1281"/>
      <c r="EU18" s="1281"/>
      <c r="EV18" s="1281"/>
      <c r="EW18" s="1281"/>
      <c r="EX18" s="1281"/>
      <c r="EY18" s="1281"/>
      <c r="EZ18" s="1281"/>
      <c r="FA18" s="1281"/>
      <c r="FB18" s="1281"/>
      <c r="FC18" s="1281"/>
      <c r="FD18" s="1281"/>
      <c r="FE18" s="1281"/>
      <c r="FF18" s="1281"/>
      <c r="FG18" s="1281"/>
      <c r="FH18" s="1281"/>
      <c r="FI18" s="1281"/>
      <c r="FJ18" s="1281"/>
      <c r="FK18" s="1281"/>
      <c r="FL18" s="1281"/>
      <c r="FM18" s="1281"/>
      <c r="FN18" s="1281"/>
      <c r="FO18" s="1281"/>
      <c r="FP18" s="1281"/>
      <c r="FQ18" s="1281"/>
      <c r="FR18" s="1281"/>
      <c r="FS18" s="1281"/>
      <c r="FT18" s="1281"/>
      <c r="FU18" s="1281"/>
      <c r="FV18" s="1281"/>
      <c r="FW18" s="1281"/>
      <c r="FX18" s="1281"/>
      <c r="FY18" s="1281"/>
      <c r="FZ18" s="1281"/>
      <c r="GA18" s="1281"/>
      <c r="GB18" s="1281"/>
      <c r="GC18" s="1281"/>
      <c r="GD18" s="1281"/>
      <c r="GE18" s="1281"/>
      <c r="GF18" s="1281"/>
      <c r="GG18" s="1281"/>
      <c r="GH18" s="1281"/>
      <c r="GI18" s="1281"/>
      <c r="GJ18" s="1281"/>
      <c r="GK18" s="1281"/>
      <c r="GL18" s="1281"/>
      <c r="GM18" s="1281"/>
      <c r="GN18" s="1281"/>
      <c r="GO18" s="1281"/>
      <c r="GP18" s="1281"/>
      <c r="GQ18" s="1281"/>
      <c r="GR18" s="1281"/>
      <c r="GS18" s="1281"/>
      <c r="GT18" s="1281"/>
      <c r="GU18" s="1281"/>
      <c r="GV18" s="1281"/>
      <c r="GW18" s="1281"/>
      <c r="GX18" s="1281"/>
      <c r="GY18" s="1281"/>
      <c r="GZ18" s="1281"/>
      <c r="HA18" s="1281"/>
      <c r="HB18" s="1281"/>
      <c r="HC18" s="1281"/>
      <c r="HD18" s="1281"/>
      <c r="HE18" s="1281"/>
      <c r="HF18" s="1281"/>
      <c r="HG18" s="1281"/>
      <c r="HH18" s="1281"/>
    </row>
    <row r="19" spans="15:216" s="1105" customFormat="1" ht="12.75">
      <c r="O19" s="1106"/>
      <c r="P19" s="1106"/>
      <c r="Q19" s="1106"/>
      <c r="R19" s="1106"/>
      <c r="S19" s="1106"/>
      <c r="T19" s="1106"/>
      <c r="U19" s="1106"/>
      <c r="V19" s="1106"/>
      <c r="W19" s="1106"/>
      <c r="X19" s="1106"/>
      <c r="Y19" s="1106"/>
      <c r="Z19" s="1106"/>
      <c r="AA19" s="1106"/>
      <c r="AB19" s="1106"/>
      <c r="AC19" s="1106"/>
      <c r="AD19" s="1106"/>
      <c r="AE19" s="1106"/>
      <c r="AF19" s="1106"/>
      <c r="AG19" s="1106"/>
      <c r="AH19" s="1106"/>
      <c r="AI19" s="1106"/>
      <c r="AJ19" s="1106"/>
      <c r="AK19" s="1106"/>
      <c r="AL19" s="1106"/>
      <c r="AM19" s="1106"/>
      <c r="AN19" s="1106"/>
      <c r="AO19" s="1106"/>
      <c r="AP19" s="1106"/>
      <c r="AQ19" s="1106"/>
      <c r="AR19" s="1106"/>
      <c r="AS19" s="1106"/>
      <c r="AT19" s="1106"/>
      <c r="AU19" s="1106"/>
      <c r="AV19" s="1106"/>
      <c r="AW19" s="1106"/>
      <c r="AX19" s="1106"/>
      <c r="AY19" s="1106"/>
      <c r="AZ19" s="1106"/>
      <c r="BA19" s="1106"/>
      <c r="BB19" s="1106"/>
      <c r="BC19" s="1106"/>
      <c r="BD19" s="1106"/>
      <c r="BE19" s="1106"/>
      <c r="BF19" s="1106"/>
      <c r="BG19" s="1106"/>
      <c r="BH19" s="1106"/>
      <c r="BI19" s="1106"/>
      <c r="BJ19" s="1106"/>
      <c r="BK19" s="1106"/>
      <c r="BL19" s="1106"/>
      <c r="BM19" s="1106"/>
      <c r="BN19" s="1106"/>
      <c r="BO19" s="1106"/>
      <c r="BP19" s="1106"/>
      <c r="BQ19" s="1106"/>
      <c r="BR19" s="1106"/>
      <c r="BS19" s="1106"/>
      <c r="BT19" s="1106"/>
      <c r="BU19" s="1106"/>
      <c r="BV19" s="1106"/>
      <c r="BW19" s="1106"/>
      <c r="BX19" s="1106"/>
      <c r="BY19" s="1106"/>
      <c r="BZ19" s="1106"/>
      <c r="CA19" s="1106"/>
      <c r="CB19" s="1106"/>
      <c r="CC19" s="1106"/>
      <c r="CD19" s="1106"/>
      <c r="CE19" s="1106"/>
      <c r="CF19" s="1106"/>
      <c r="CG19" s="1106"/>
      <c r="CH19" s="1106"/>
      <c r="CI19" s="1106"/>
      <c r="CJ19" s="1106"/>
      <c r="CK19" s="1106"/>
      <c r="CL19" s="1106"/>
      <c r="CM19" s="1106"/>
      <c r="CN19" s="1106"/>
      <c r="CO19" s="1106"/>
      <c r="CP19" s="1106"/>
      <c r="CQ19" s="1106"/>
      <c r="CR19" s="1106"/>
      <c r="CS19" s="1106"/>
      <c r="CT19" s="1106"/>
      <c r="CU19" s="1106"/>
      <c r="CV19" s="1106"/>
      <c r="CW19" s="1106"/>
      <c r="CX19" s="1106"/>
      <c r="CY19" s="1106"/>
      <c r="CZ19" s="1106"/>
      <c r="DA19" s="1106"/>
      <c r="DB19" s="1106"/>
      <c r="DC19" s="1106"/>
      <c r="DD19" s="1106"/>
      <c r="DE19" s="1106"/>
      <c r="DF19" s="1106"/>
      <c r="DG19" s="1106"/>
      <c r="DH19" s="1106"/>
      <c r="DI19" s="1106"/>
      <c r="DJ19" s="1106"/>
      <c r="DK19" s="1106"/>
      <c r="DL19" s="1106"/>
      <c r="DM19" s="1106"/>
      <c r="DN19" s="1106"/>
      <c r="DO19" s="1106"/>
      <c r="DP19" s="1106"/>
      <c r="DQ19" s="1106"/>
      <c r="DR19" s="1106"/>
      <c r="DS19" s="1106"/>
      <c r="DT19" s="1106"/>
      <c r="DU19" s="1106"/>
      <c r="DV19" s="1106"/>
      <c r="DW19" s="1106"/>
      <c r="DX19" s="1106"/>
      <c r="DY19" s="1106"/>
      <c r="DZ19" s="1106"/>
      <c r="EA19" s="1106"/>
      <c r="EB19" s="1106"/>
      <c r="EC19" s="1106"/>
      <c r="ED19" s="1106"/>
      <c r="EE19" s="1106"/>
      <c r="EF19" s="1106"/>
      <c r="EG19" s="1106"/>
      <c r="EH19" s="1106"/>
      <c r="EI19" s="1106"/>
      <c r="EJ19" s="1106"/>
      <c r="EK19" s="1106"/>
      <c r="EL19" s="1106"/>
      <c r="EM19" s="1106"/>
      <c r="EN19" s="1106"/>
      <c r="EO19" s="1106"/>
      <c r="EP19" s="1106"/>
      <c r="EQ19" s="1106"/>
      <c r="ER19" s="1106"/>
      <c r="ES19" s="1106"/>
      <c r="ET19" s="1106"/>
      <c r="EU19" s="1106"/>
      <c r="EV19" s="1106"/>
      <c r="EW19" s="1106"/>
      <c r="EX19" s="1106"/>
      <c r="EY19" s="1106"/>
      <c r="EZ19" s="1106"/>
      <c r="FA19" s="1106"/>
      <c r="FB19" s="1106"/>
      <c r="FC19" s="1106"/>
      <c r="FD19" s="1106"/>
      <c r="FE19" s="1106"/>
      <c r="FF19" s="1106"/>
      <c r="FG19" s="1106"/>
      <c r="FH19" s="1106"/>
      <c r="FI19" s="1106"/>
      <c r="FJ19" s="1106"/>
      <c r="FK19" s="1106"/>
      <c r="FL19" s="1106"/>
      <c r="FM19" s="1106"/>
      <c r="FN19" s="1106"/>
      <c r="FO19" s="1106"/>
      <c r="FP19" s="1106"/>
      <c r="FQ19" s="1106"/>
      <c r="FR19" s="1106"/>
      <c r="FS19" s="1106"/>
      <c r="FT19" s="1106"/>
      <c r="FU19" s="1106"/>
      <c r="FV19" s="1106"/>
      <c r="FW19" s="1106"/>
      <c r="FX19" s="1106"/>
      <c r="FY19" s="1106"/>
      <c r="FZ19" s="1106"/>
      <c r="GA19" s="1106"/>
      <c r="GB19" s="1106"/>
      <c r="GC19" s="1106"/>
      <c r="GD19" s="1106"/>
      <c r="GE19" s="1106"/>
      <c r="GF19" s="1106"/>
      <c r="GG19" s="1106"/>
      <c r="GH19" s="1106"/>
      <c r="GI19" s="1106"/>
      <c r="GJ19" s="1106"/>
      <c r="GK19" s="1106"/>
      <c r="GL19" s="1106"/>
      <c r="GM19" s="1106"/>
      <c r="GN19" s="1106"/>
      <c r="GO19" s="1106"/>
      <c r="GP19" s="1106"/>
      <c r="GQ19" s="1106"/>
      <c r="GR19" s="1106"/>
      <c r="GS19" s="1106"/>
      <c r="GT19" s="1106"/>
      <c r="GU19" s="1106"/>
      <c r="GV19" s="1106"/>
      <c r="GW19" s="1106"/>
      <c r="GX19" s="1106"/>
      <c r="GY19" s="1106"/>
      <c r="GZ19" s="1106"/>
      <c r="HA19" s="1106"/>
      <c r="HB19" s="1106"/>
      <c r="HC19" s="1106"/>
      <c r="HD19" s="1106"/>
      <c r="HE19" s="1106"/>
      <c r="HF19" s="1106"/>
      <c r="HG19" s="1106"/>
      <c r="HH19" s="1106"/>
    </row>
    <row r="20" spans="7:216" s="1105" customFormat="1" ht="12.75">
      <c r="G20" s="1107"/>
      <c r="O20" s="1106"/>
      <c r="P20" s="1106"/>
      <c r="Q20" s="1106"/>
      <c r="R20" s="1106"/>
      <c r="S20" s="1106"/>
      <c r="T20" s="1106"/>
      <c r="U20" s="1106"/>
      <c r="V20" s="1106"/>
      <c r="W20" s="1106"/>
      <c r="X20" s="1106"/>
      <c r="Y20" s="1106"/>
      <c r="Z20" s="1106"/>
      <c r="AA20" s="1106"/>
      <c r="AB20" s="1106"/>
      <c r="AC20" s="1106"/>
      <c r="AD20" s="1106"/>
      <c r="AE20" s="1106"/>
      <c r="AF20" s="1106"/>
      <c r="AG20" s="1106"/>
      <c r="AH20" s="1106"/>
      <c r="AI20" s="1106"/>
      <c r="AJ20" s="1106"/>
      <c r="AK20" s="1106"/>
      <c r="AL20" s="1106"/>
      <c r="AM20" s="1106"/>
      <c r="AN20" s="1106"/>
      <c r="AO20" s="1106"/>
      <c r="AP20" s="1106"/>
      <c r="AQ20" s="1106"/>
      <c r="AR20" s="1106"/>
      <c r="AS20" s="1106"/>
      <c r="AT20" s="1106"/>
      <c r="AU20" s="1106"/>
      <c r="AV20" s="1106"/>
      <c r="AW20" s="1106"/>
      <c r="AX20" s="1106"/>
      <c r="AY20" s="1106"/>
      <c r="AZ20" s="1106"/>
      <c r="BA20" s="1106"/>
      <c r="BB20" s="1106"/>
      <c r="BC20" s="1106"/>
      <c r="BD20" s="1106"/>
      <c r="BE20" s="1106"/>
      <c r="BF20" s="1106"/>
      <c r="BG20" s="1106"/>
      <c r="BH20" s="1106"/>
      <c r="BI20" s="1106"/>
      <c r="BJ20" s="1106"/>
      <c r="BK20" s="1106"/>
      <c r="BL20" s="1106"/>
      <c r="BM20" s="1106"/>
      <c r="BN20" s="1106"/>
      <c r="BO20" s="1106"/>
      <c r="BP20" s="1106"/>
      <c r="BQ20" s="1106"/>
      <c r="BR20" s="1106"/>
      <c r="BS20" s="1106"/>
      <c r="BT20" s="1106"/>
      <c r="BU20" s="1106"/>
      <c r="BV20" s="1106"/>
      <c r="BW20" s="1106"/>
      <c r="BX20" s="1106"/>
      <c r="BY20" s="1106"/>
      <c r="BZ20" s="1106"/>
      <c r="CA20" s="1106"/>
      <c r="CB20" s="1106"/>
      <c r="CC20" s="1106"/>
      <c r="CD20" s="1106"/>
      <c r="CE20" s="1106"/>
      <c r="CF20" s="1106"/>
      <c r="CG20" s="1106"/>
      <c r="CH20" s="1106"/>
      <c r="CI20" s="1106"/>
      <c r="CJ20" s="1106"/>
      <c r="CK20" s="1106"/>
      <c r="CL20" s="1106"/>
      <c r="CM20" s="1106"/>
      <c r="CN20" s="1106"/>
      <c r="CO20" s="1106"/>
      <c r="CP20" s="1106"/>
      <c r="CQ20" s="1106"/>
      <c r="CR20" s="1106"/>
      <c r="CS20" s="1106"/>
      <c r="CT20" s="1106"/>
      <c r="CU20" s="1106"/>
      <c r="CV20" s="1106"/>
      <c r="CW20" s="1106"/>
      <c r="CX20" s="1106"/>
      <c r="CY20" s="1106"/>
      <c r="CZ20" s="1106"/>
      <c r="DA20" s="1106"/>
      <c r="DB20" s="1106"/>
      <c r="DC20" s="1106"/>
      <c r="DD20" s="1106"/>
      <c r="DE20" s="1106"/>
      <c r="DF20" s="1106"/>
      <c r="DG20" s="1106"/>
      <c r="DH20" s="1106"/>
      <c r="DI20" s="1106"/>
      <c r="DJ20" s="1106"/>
      <c r="DK20" s="1106"/>
      <c r="DL20" s="1106"/>
      <c r="DM20" s="1106"/>
      <c r="DN20" s="1106"/>
      <c r="DO20" s="1106"/>
      <c r="DP20" s="1106"/>
      <c r="DQ20" s="1106"/>
      <c r="DR20" s="1106"/>
      <c r="DS20" s="1106"/>
      <c r="DT20" s="1106"/>
      <c r="DU20" s="1106"/>
      <c r="DV20" s="1106"/>
      <c r="DW20" s="1106"/>
      <c r="DX20" s="1106"/>
      <c r="DY20" s="1106"/>
      <c r="DZ20" s="1106"/>
      <c r="EA20" s="1106"/>
      <c r="EB20" s="1106"/>
      <c r="EC20" s="1106"/>
      <c r="ED20" s="1106"/>
      <c r="EE20" s="1106"/>
      <c r="EF20" s="1106"/>
      <c r="EG20" s="1106"/>
      <c r="EH20" s="1106"/>
      <c r="EI20" s="1106"/>
      <c r="EJ20" s="1106"/>
      <c r="EK20" s="1106"/>
      <c r="EL20" s="1106"/>
      <c r="EM20" s="1106"/>
      <c r="EN20" s="1106"/>
      <c r="EO20" s="1106"/>
      <c r="EP20" s="1106"/>
      <c r="EQ20" s="1106"/>
      <c r="ER20" s="1106"/>
      <c r="ES20" s="1106"/>
      <c r="ET20" s="1106"/>
      <c r="EU20" s="1106"/>
      <c r="EV20" s="1106"/>
      <c r="EW20" s="1106"/>
      <c r="EX20" s="1106"/>
      <c r="EY20" s="1106"/>
      <c r="EZ20" s="1106"/>
      <c r="FA20" s="1106"/>
      <c r="FB20" s="1106"/>
      <c r="FC20" s="1106"/>
      <c r="FD20" s="1106"/>
      <c r="FE20" s="1106"/>
      <c r="FF20" s="1106"/>
      <c r="FG20" s="1106"/>
      <c r="FH20" s="1106"/>
      <c r="FI20" s="1106"/>
      <c r="FJ20" s="1106"/>
      <c r="FK20" s="1106"/>
      <c r="FL20" s="1106"/>
      <c r="FM20" s="1106"/>
      <c r="FN20" s="1106"/>
      <c r="FO20" s="1106"/>
      <c r="FP20" s="1106"/>
      <c r="FQ20" s="1106"/>
      <c r="FR20" s="1106"/>
      <c r="FS20" s="1106"/>
      <c r="FT20" s="1106"/>
      <c r="FU20" s="1106"/>
      <c r="FV20" s="1106"/>
      <c r="FW20" s="1106"/>
      <c r="FX20" s="1106"/>
      <c r="FY20" s="1106"/>
      <c r="FZ20" s="1106"/>
      <c r="GA20" s="1106"/>
      <c r="GB20" s="1106"/>
      <c r="GC20" s="1106"/>
      <c r="GD20" s="1106"/>
      <c r="GE20" s="1106"/>
      <c r="GF20" s="1106"/>
      <c r="GG20" s="1106"/>
      <c r="GH20" s="1106"/>
      <c r="GI20" s="1106"/>
      <c r="GJ20" s="1106"/>
      <c r="GK20" s="1106"/>
      <c r="GL20" s="1106"/>
      <c r="GM20" s="1106"/>
      <c r="GN20" s="1106"/>
      <c r="GO20" s="1106"/>
      <c r="GP20" s="1106"/>
      <c r="GQ20" s="1106"/>
      <c r="GR20" s="1106"/>
      <c r="GS20" s="1106"/>
      <c r="GT20" s="1106"/>
      <c r="GU20" s="1106"/>
      <c r="GV20" s="1106"/>
      <c r="GW20" s="1106"/>
      <c r="GX20" s="1106"/>
      <c r="GY20" s="1106"/>
      <c r="GZ20" s="1106"/>
      <c r="HA20" s="1106"/>
      <c r="HB20" s="1106"/>
      <c r="HC20" s="1106"/>
      <c r="HD20" s="1106"/>
      <c r="HE20" s="1106"/>
      <c r="HF20" s="1106"/>
      <c r="HG20" s="1106"/>
      <c r="HH20" s="1106"/>
    </row>
    <row r="21" spans="2:216" s="1105" customFormat="1" ht="12.75">
      <c r="B21" s="1105" t="s">
        <v>38</v>
      </c>
      <c r="O21" s="1106"/>
      <c r="P21" s="1106"/>
      <c r="Q21" s="1106"/>
      <c r="R21" s="1106"/>
      <c r="S21" s="1106"/>
      <c r="T21" s="1106"/>
      <c r="U21" s="1106"/>
      <c r="V21" s="1106"/>
      <c r="W21" s="1106"/>
      <c r="X21" s="1106"/>
      <c r="Y21" s="1106"/>
      <c r="Z21" s="1106"/>
      <c r="AA21" s="1106"/>
      <c r="AB21" s="1106"/>
      <c r="AC21" s="1106"/>
      <c r="AD21" s="1106"/>
      <c r="AE21" s="1106"/>
      <c r="AF21" s="1106"/>
      <c r="AG21" s="1106"/>
      <c r="AH21" s="1106"/>
      <c r="AI21" s="1106"/>
      <c r="AJ21" s="1106"/>
      <c r="AK21" s="1106"/>
      <c r="AL21" s="1106"/>
      <c r="AM21" s="1106"/>
      <c r="AN21" s="1106"/>
      <c r="AO21" s="1106"/>
      <c r="AP21" s="1106"/>
      <c r="AQ21" s="1106"/>
      <c r="AR21" s="1106"/>
      <c r="AS21" s="1106"/>
      <c r="AT21" s="1106"/>
      <c r="AU21" s="1106"/>
      <c r="AV21" s="1106"/>
      <c r="AW21" s="1106"/>
      <c r="AX21" s="1106"/>
      <c r="AY21" s="1106"/>
      <c r="AZ21" s="1106"/>
      <c r="BA21" s="1106"/>
      <c r="BB21" s="1106"/>
      <c r="BC21" s="1106"/>
      <c r="BD21" s="1106"/>
      <c r="BE21" s="1106"/>
      <c r="BF21" s="1106"/>
      <c r="BG21" s="1106"/>
      <c r="BH21" s="1106"/>
      <c r="BI21" s="1106"/>
      <c r="BJ21" s="1106"/>
      <c r="BK21" s="1106"/>
      <c r="BL21" s="1106"/>
      <c r="BM21" s="1106"/>
      <c r="BN21" s="1106"/>
      <c r="BO21" s="1106"/>
      <c r="BP21" s="1106"/>
      <c r="BQ21" s="1106"/>
      <c r="BR21" s="1106"/>
      <c r="BS21" s="1106"/>
      <c r="BT21" s="1106"/>
      <c r="BU21" s="1106"/>
      <c r="BV21" s="1106"/>
      <c r="BW21" s="1106"/>
      <c r="BX21" s="1106"/>
      <c r="BY21" s="1106"/>
      <c r="BZ21" s="1106"/>
      <c r="CA21" s="1106"/>
      <c r="CB21" s="1106"/>
      <c r="CC21" s="1106"/>
      <c r="CD21" s="1106"/>
      <c r="CE21" s="1106"/>
      <c r="CF21" s="1106"/>
      <c r="CG21" s="1106"/>
      <c r="CH21" s="1106"/>
      <c r="CI21" s="1106"/>
      <c r="CJ21" s="1106"/>
      <c r="CK21" s="1106"/>
      <c r="CL21" s="1106"/>
      <c r="CM21" s="1106"/>
      <c r="CN21" s="1106"/>
      <c r="CO21" s="1106"/>
      <c r="CP21" s="1106"/>
      <c r="CQ21" s="1106"/>
      <c r="CR21" s="1106"/>
      <c r="CS21" s="1106"/>
      <c r="CT21" s="1106"/>
      <c r="CU21" s="1106"/>
      <c r="CV21" s="1106"/>
      <c r="CW21" s="1106"/>
      <c r="CX21" s="1106"/>
      <c r="CY21" s="1106"/>
      <c r="CZ21" s="1106"/>
      <c r="DA21" s="1106"/>
      <c r="DB21" s="1106"/>
      <c r="DC21" s="1106"/>
      <c r="DD21" s="1106"/>
      <c r="DE21" s="1106"/>
      <c r="DF21" s="1106"/>
      <c r="DG21" s="1106"/>
      <c r="DH21" s="1106"/>
      <c r="DI21" s="1106"/>
      <c r="DJ21" s="1106"/>
      <c r="DK21" s="1106"/>
      <c r="DL21" s="1106"/>
      <c r="DM21" s="1106"/>
      <c r="DN21" s="1106"/>
      <c r="DO21" s="1106"/>
      <c r="DP21" s="1106"/>
      <c r="DQ21" s="1106"/>
      <c r="DR21" s="1106"/>
      <c r="DS21" s="1106"/>
      <c r="DT21" s="1106"/>
      <c r="DU21" s="1106"/>
      <c r="DV21" s="1106"/>
      <c r="DW21" s="1106"/>
      <c r="DX21" s="1106"/>
      <c r="DY21" s="1106"/>
      <c r="DZ21" s="1106"/>
      <c r="EA21" s="1106"/>
      <c r="EB21" s="1106"/>
      <c r="EC21" s="1106"/>
      <c r="ED21" s="1106"/>
      <c r="EE21" s="1106"/>
      <c r="EF21" s="1106"/>
      <c r="EG21" s="1106"/>
      <c r="EH21" s="1106"/>
      <c r="EI21" s="1106"/>
      <c r="EJ21" s="1106"/>
      <c r="EK21" s="1106"/>
      <c r="EL21" s="1106"/>
      <c r="EM21" s="1106"/>
      <c r="EN21" s="1106"/>
      <c r="EO21" s="1106"/>
      <c r="EP21" s="1106"/>
      <c r="EQ21" s="1106"/>
      <c r="ER21" s="1106"/>
      <c r="ES21" s="1106"/>
      <c r="ET21" s="1106"/>
      <c r="EU21" s="1106"/>
      <c r="EV21" s="1106"/>
      <c r="EW21" s="1106"/>
      <c r="EX21" s="1106"/>
      <c r="EY21" s="1106"/>
      <c r="EZ21" s="1106"/>
      <c r="FA21" s="1106"/>
      <c r="FB21" s="1106"/>
      <c r="FC21" s="1106"/>
      <c r="FD21" s="1106"/>
      <c r="FE21" s="1106"/>
      <c r="FF21" s="1106"/>
      <c r="FG21" s="1106"/>
      <c r="FH21" s="1106"/>
      <c r="FI21" s="1106"/>
      <c r="FJ21" s="1106"/>
      <c r="FK21" s="1106"/>
      <c r="FL21" s="1106"/>
      <c r="FM21" s="1106"/>
      <c r="FN21" s="1106"/>
      <c r="FO21" s="1106"/>
      <c r="FP21" s="1106"/>
      <c r="FQ21" s="1106"/>
      <c r="FR21" s="1106"/>
      <c r="FS21" s="1106"/>
      <c r="FT21" s="1106"/>
      <c r="FU21" s="1106"/>
      <c r="FV21" s="1106"/>
      <c r="FW21" s="1106"/>
      <c r="FX21" s="1106"/>
      <c r="FY21" s="1106"/>
      <c r="FZ21" s="1106"/>
      <c r="GA21" s="1106"/>
      <c r="GB21" s="1106"/>
      <c r="GC21" s="1106"/>
      <c r="GD21" s="1106"/>
      <c r="GE21" s="1106"/>
      <c r="GF21" s="1106"/>
      <c r="GG21" s="1106"/>
      <c r="GH21" s="1106"/>
      <c r="GI21" s="1106"/>
      <c r="GJ21" s="1106"/>
      <c r="GK21" s="1106"/>
      <c r="GL21" s="1106"/>
      <c r="GM21" s="1106"/>
      <c r="GN21" s="1106"/>
      <c r="GO21" s="1106"/>
      <c r="GP21" s="1106"/>
      <c r="GQ21" s="1106"/>
      <c r="GR21" s="1106"/>
      <c r="GS21" s="1106"/>
      <c r="GT21" s="1106"/>
      <c r="GU21" s="1106"/>
      <c r="GV21" s="1106"/>
      <c r="GW21" s="1106"/>
      <c r="GX21" s="1106"/>
      <c r="GY21" s="1106"/>
      <c r="GZ21" s="1106"/>
      <c r="HA21" s="1106"/>
      <c r="HB21" s="1106"/>
      <c r="HC21" s="1106"/>
      <c r="HD21" s="1106"/>
      <c r="HE21" s="1106"/>
      <c r="HF21" s="1106"/>
      <c r="HG21" s="1106"/>
      <c r="HH21" s="1106"/>
    </row>
    <row r="22" spans="15:216" s="1105" customFormat="1" ht="12.75">
      <c r="O22" s="1106"/>
      <c r="P22" s="1106"/>
      <c r="Q22" s="1106"/>
      <c r="R22" s="1106"/>
      <c r="S22" s="1106"/>
      <c r="T22" s="1106"/>
      <c r="U22" s="1106"/>
      <c r="V22" s="1106"/>
      <c r="W22" s="1106"/>
      <c r="X22" s="1106"/>
      <c r="Y22" s="1106"/>
      <c r="Z22" s="1106"/>
      <c r="AA22" s="1106"/>
      <c r="AB22" s="1106"/>
      <c r="AC22" s="1106"/>
      <c r="AD22" s="1106"/>
      <c r="AE22" s="1106"/>
      <c r="AF22" s="1106"/>
      <c r="AG22" s="1106"/>
      <c r="AH22" s="1106"/>
      <c r="AI22" s="1106"/>
      <c r="AJ22" s="1106"/>
      <c r="AK22" s="1106"/>
      <c r="AL22" s="1106"/>
      <c r="AM22" s="1106"/>
      <c r="AN22" s="1106"/>
      <c r="AO22" s="1106"/>
      <c r="AP22" s="1106"/>
      <c r="AQ22" s="1106"/>
      <c r="AR22" s="1106"/>
      <c r="AS22" s="1106"/>
      <c r="AT22" s="1106"/>
      <c r="AU22" s="1106"/>
      <c r="AV22" s="1106"/>
      <c r="AW22" s="1106"/>
      <c r="AX22" s="1106"/>
      <c r="AY22" s="1106"/>
      <c r="AZ22" s="1106"/>
      <c r="BA22" s="1106"/>
      <c r="BB22" s="1106"/>
      <c r="BC22" s="1106"/>
      <c r="BD22" s="1106"/>
      <c r="BE22" s="1106"/>
      <c r="BF22" s="1106"/>
      <c r="BG22" s="1106"/>
      <c r="BH22" s="1106"/>
      <c r="BI22" s="1106"/>
      <c r="BJ22" s="1106"/>
      <c r="BK22" s="1106"/>
      <c r="BL22" s="1106"/>
      <c r="BM22" s="1106"/>
      <c r="BN22" s="1106"/>
      <c r="BO22" s="1106"/>
      <c r="BP22" s="1106"/>
      <c r="BQ22" s="1106"/>
      <c r="BR22" s="1106"/>
      <c r="BS22" s="1106"/>
      <c r="BT22" s="1106"/>
      <c r="BU22" s="1106"/>
      <c r="BV22" s="1106"/>
      <c r="BW22" s="1106"/>
      <c r="BX22" s="1106"/>
      <c r="BY22" s="1106"/>
      <c r="BZ22" s="1106"/>
      <c r="CA22" s="1106"/>
      <c r="CB22" s="1106"/>
      <c r="CC22" s="1106"/>
      <c r="CD22" s="1106"/>
      <c r="CE22" s="1106"/>
      <c r="CF22" s="1106"/>
      <c r="CG22" s="1106"/>
      <c r="CH22" s="1106"/>
      <c r="CI22" s="1106"/>
      <c r="CJ22" s="1106"/>
      <c r="CK22" s="1106"/>
      <c r="CL22" s="1106"/>
      <c r="CM22" s="1106"/>
      <c r="CN22" s="1106"/>
      <c r="CO22" s="1106"/>
      <c r="CP22" s="1106"/>
      <c r="CQ22" s="1106"/>
      <c r="CR22" s="1106"/>
      <c r="CS22" s="1106"/>
      <c r="CT22" s="1106"/>
      <c r="CU22" s="1106"/>
      <c r="CV22" s="1106"/>
      <c r="CW22" s="1106"/>
      <c r="CX22" s="1106"/>
      <c r="CY22" s="1106"/>
      <c r="CZ22" s="1106"/>
      <c r="DA22" s="1106"/>
      <c r="DB22" s="1106"/>
      <c r="DC22" s="1106"/>
      <c r="DD22" s="1106"/>
      <c r="DE22" s="1106"/>
      <c r="DF22" s="1106"/>
      <c r="DG22" s="1106"/>
      <c r="DH22" s="1106"/>
      <c r="DI22" s="1106"/>
      <c r="DJ22" s="1106"/>
      <c r="DK22" s="1106"/>
      <c r="DL22" s="1106"/>
      <c r="DM22" s="1106"/>
      <c r="DN22" s="1106"/>
      <c r="DO22" s="1106"/>
      <c r="DP22" s="1106"/>
      <c r="DQ22" s="1106"/>
      <c r="DR22" s="1106"/>
      <c r="DS22" s="1106"/>
      <c r="DT22" s="1106"/>
      <c r="DU22" s="1106"/>
      <c r="DV22" s="1106"/>
      <c r="DW22" s="1106"/>
      <c r="DX22" s="1106"/>
      <c r="DY22" s="1106"/>
      <c r="DZ22" s="1106"/>
      <c r="EA22" s="1106"/>
      <c r="EB22" s="1106"/>
      <c r="EC22" s="1106"/>
      <c r="ED22" s="1106"/>
      <c r="EE22" s="1106"/>
      <c r="EF22" s="1106"/>
      <c r="EG22" s="1106"/>
      <c r="EH22" s="1106"/>
      <c r="EI22" s="1106"/>
      <c r="EJ22" s="1106"/>
      <c r="EK22" s="1106"/>
      <c r="EL22" s="1106"/>
      <c r="EM22" s="1106"/>
      <c r="EN22" s="1106"/>
      <c r="EO22" s="1106"/>
      <c r="EP22" s="1106"/>
      <c r="EQ22" s="1106"/>
      <c r="ER22" s="1106"/>
      <c r="ES22" s="1106"/>
      <c r="ET22" s="1106"/>
      <c r="EU22" s="1106"/>
      <c r="EV22" s="1106"/>
      <c r="EW22" s="1106"/>
      <c r="EX22" s="1106"/>
      <c r="EY22" s="1106"/>
      <c r="EZ22" s="1106"/>
      <c r="FA22" s="1106"/>
      <c r="FB22" s="1106"/>
      <c r="FC22" s="1106"/>
      <c r="FD22" s="1106"/>
      <c r="FE22" s="1106"/>
      <c r="FF22" s="1106"/>
      <c r="FG22" s="1106"/>
      <c r="FH22" s="1106"/>
      <c r="FI22" s="1106"/>
      <c r="FJ22" s="1106"/>
      <c r="FK22" s="1106"/>
      <c r="FL22" s="1106"/>
      <c r="FM22" s="1106"/>
      <c r="FN22" s="1106"/>
      <c r="FO22" s="1106"/>
      <c r="FP22" s="1106"/>
      <c r="FQ22" s="1106"/>
      <c r="FR22" s="1106"/>
      <c r="FS22" s="1106"/>
      <c r="FT22" s="1106"/>
      <c r="FU22" s="1106"/>
      <c r="FV22" s="1106"/>
      <c r="FW22" s="1106"/>
      <c r="FX22" s="1106"/>
      <c r="FY22" s="1106"/>
      <c r="FZ22" s="1106"/>
      <c r="GA22" s="1106"/>
      <c r="GB22" s="1106"/>
      <c r="GC22" s="1106"/>
      <c r="GD22" s="1106"/>
      <c r="GE22" s="1106"/>
      <c r="GF22" s="1106"/>
      <c r="GG22" s="1106"/>
      <c r="GH22" s="1106"/>
      <c r="GI22" s="1106"/>
      <c r="GJ22" s="1106"/>
      <c r="GK22" s="1106"/>
      <c r="GL22" s="1106"/>
      <c r="GM22" s="1106"/>
      <c r="GN22" s="1106"/>
      <c r="GO22" s="1106"/>
      <c r="GP22" s="1106"/>
      <c r="GQ22" s="1106"/>
      <c r="GR22" s="1106"/>
      <c r="GS22" s="1106"/>
      <c r="GT22" s="1106"/>
      <c r="GU22" s="1106"/>
      <c r="GV22" s="1106"/>
      <c r="GW22" s="1106"/>
      <c r="GX22" s="1106"/>
      <c r="GY22" s="1106"/>
      <c r="GZ22" s="1106"/>
      <c r="HA22" s="1106"/>
      <c r="HB22" s="1106"/>
      <c r="HC22" s="1106"/>
      <c r="HD22" s="1106"/>
      <c r="HE22" s="1106"/>
      <c r="HF22" s="1106"/>
      <c r="HG22" s="1106"/>
      <c r="HH22" s="1106"/>
    </row>
    <row r="23" spans="15:216" s="1105" customFormat="1" ht="12.75">
      <c r="O23" s="1106"/>
      <c r="P23" s="1106"/>
      <c r="Q23" s="1106"/>
      <c r="R23" s="1106"/>
      <c r="S23" s="1106"/>
      <c r="T23" s="1106"/>
      <c r="U23" s="1106"/>
      <c r="V23" s="1106"/>
      <c r="W23" s="1106"/>
      <c r="X23" s="1106"/>
      <c r="Y23" s="1106"/>
      <c r="Z23" s="1106"/>
      <c r="AA23" s="1106"/>
      <c r="AB23" s="1106"/>
      <c r="AC23" s="1106"/>
      <c r="AD23" s="1106"/>
      <c r="AE23" s="1106"/>
      <c r="AF23" s="1106"/>
      <c r="AG23" s="1106"/>
      <c r="AH23" s="1106"/>
      <c r="AI23" s="1106"/>
      <c r="AJ23" s="1106"/>
      <c r="AK23" s="1106"/>
      <c r="AL23" s="1106"/>
      <c r="AM23" s="1106"/>
      <c r="AN23" s="1106"/>
      <c r="AO23" s="1106"/>
      <c r="AP23" s="1106"/>
      <c r="AQ23" s="1106"/>
      <c r="AR23" s="1106"/>
      <c r="AS23" s="1106"/>
      <c r="AT23" s="1106"/>
      <c r="AU23" s="1106"/>
      <c r="AV23" s="1106"/>
      <c r="AW23" s="1106"/>
      <c r="AX23" s="1106"/>
      <c r="AY23" s="1106"/>
      <c r="AZ23" s="1106"/>
      <c r="BA23" s="1106"/>
      <c r="BB23" s="1106"/>
      <c r="BC23" s="1106"/>
      <c r="BD23" s="1106"/>
      <c r="BE23" s="1106"/>
      <c r="BF23" s="1106"/>
      <c r="BG23" s="1106"/>
      <c r="BH23" s="1106"/>
      <c r="BI23" s="1106"/>
      <c r="BJ23" s="1106"/>
      <c r="BK23" s="1106"/>
      <c r="BL23" s="1106"/>
      <c r="BM23" s="1106"/>
      <c r="BN23" s="1106"/>
      <c r="BO23" s="1106"/>
      <c r="BP23" s="1106"/>
      <c r="BQ23" s="1106"/>
      <c r="BR23" s="1106"/>
      <c r="BS23" s="1106"/>
      <c r="BT23" s="1106"/>
      <c r="BU23" s="1106"/>
      <c r="BV23" s="1106"/>
      <c r="BW23" s="1106"/>
      <c r="BX23" s="1106"/>
      <c r="BY23" s="1106"/>
      <c r="BZ23" s="1106"/>
      <c r="CA23" s="1106"/>
      <c r="CB23" s="1106"/>
      <c r="CC23" s="1106"/>
      <c r="CD23" s="1106"/>
      <c r="CE23" s="1106"/>
      <c r="CF23" s="1106"/>
      <c r="CG23" s="1106"/>
      <c r="CH23" s="1106"/>
      <c r="CI23" s="1106"/>
      <c r="CJ23" s="1106"/>
      <c r="CK23" s="1106"/>
      <c r="CL23" s="1106"/>
      <c r="CM23" s="1106"/>
      <c r="CN23" s="1106"/>
      <c r="CO23" s="1106"/>
      <c r="CP23" s="1106"/>
      <c r="CQ23" s="1106"/>
      <c r="CR23" s="1106"/>
      <c r="CS23" s="1106"/>
      <c r="CT23" s="1106"/>
      <c r="CU23" s="1106"/>
      <c r="CV23" s="1106"/>
      <c r="CW23" s="1106"/>
      <c r="CX23" s="1106"/>
      <c r="CY23" s="1106"/>
      <c r="CZ23" s="1106"/>
      <c r="DA23" s="1106"/>
      <c r="DB23" s="1106"/>
      <c r="DC23" s="1106"/>
      <c r="DD23" s="1106"/>
      <c r="DE23" s="1106"/>
      <c r="DF23" s="1106"/>
      <c r="DG23" s="1106"/>
      <c r="DH23" s="1106"/>
      <c r="DI23" s="1106"/>
      <c r="DJ23" s="1106"/>
      <c r="DK23" s="1106"/>
      <c r="DL23" s="1106"/>
      <c r="DM23" s="1106"/>
      <c r="DN23" s="1106"/>
      <c r="DO23" s="1106"/>
      <c r="DP23" s="1106"/>
      <c r="DQ23" s="1106"/>
      <c r="DR23" s="1106"/>
      <c r="DS23" s="1106"/>
      <c r="DT23" s="1106"/>
      <c r="DU23" s="1106"/>
      <c r="DV23" s="1106"/>
      <c r="DW23" s="1106"/>
      <c r="DX23" s="1106"/>
      <c r="DY23" s="1106"/>
      <c r="DZ23" s="1106"/>
      <c r="EA23" s="1106"/>
      <c r="EB23" s="1106"/>
      <c r="EC23" s="1106"/>
      <c r="ED23" s="1106"/>
      <c r="EE23" s="1106"/>
      <c r="EF23" s="1106"/>
      <c r="EG23" s="1106"/>
      <c r="EH23" s="1106"/>
      <c r="EI23" s="1106"/>
      <c r="EJ23" s="1106"/>
      <c r="EK23" s="1106"/>
      <c r="EL23" s="1106"/>
      <c r="EM23" s="1106"/>
      <c r="EN23" s="1106"/>
      <c r="EO23" s="1106"/>
      <c r="EP23" s="1106"/>
      <c r="EQ23" s="1106"/>
      <c r="ER23" s="1106"/>
      <c r="ES23" s="1106"/>
      <c r="ET23" s="1106"/>
      <c r="EU23" s="1106"/>
      <c r="EV23" s="1106"/>
      <c r="EW23" s="1106"/>
      <c r="EX23" s="1106"/>
      <c r="EY23" s="1106"/>
      <c r="EZ23" s="1106"/>
      <c r="FA23" s="1106"/>
      <c r="FB23" s="1106"/>
      <c r="FC23" s="1106"/>
      <c r="FD23" s="1106"/>
      <c r="FE23" s="1106"/>
      <c r="FF23" s="1106"/>
      <c r="FG23" s="1106"/>
      <c r="FH23" s="1106"/>
      <c r="FI23" s="1106"/>
      <c r="FJ23" s="1106"/>
      <c r="FK23" s="1106"/>
      <c r="FL23" s="1106"/>
      <c r="FM23" s="1106"/>
      <c r="FN23" s="1106"/>
      <c r="FO23" s="1106"/>
      <c r="FP23" s="1106"/>
      <c r="FQ23" s="1106"/>
      <c r="FR23" s="1106"/>
      <c r="FS23" s="1106"/>
      <c r="FT23" s="1106"/>
      <c r="FU23" s="1106"/>
      <c r="FV23" s="1106"/>
      <c r="FW23" s="1106"/>
      <c r="FX23" s="1106"/>
      <c r="FY23" s="1106"/>
      <c r="FZ23" s="1106"/>
      <c r="GA23" s="1106"/>
      <c r="GB23" s="1106"/>
      <c r="GC23" s="1106"/>
      <c r="GD23" s="1106"/>
      <c r="GE23" s="1106"/>
      <c r="GF23" s="1106"/>
      <c r="GG23" s="1106"/>
      <c r="GH23" s="1106"/>
      <c r="GI23" s="1106"/>
      <c r="GJ23" s="1106"/>
      <c r="GK23" s="1106"/>
      <c r="GL23" s="1106"/>
      <c r="GM23" s="1106"/>
      <c r="GN23" s="1106"/>
      <c r="GO23" s="1106"/>
      <c r="GP23" s="1106"/>
      <c r="GQ23" s="1106"/>
      <c r="GR23" s="1106"/>
      <c r="GS23" s="1106"/>
      <c r="GT23" s="1106"/>
      <c r="GU23" s="1106"/>
      <c r="GV23" s="1106"/>
      <c r="GW23" s="1106"/>
      <c r="GX23" s="1106"/>
      <c r="GY23" s="1106"/>
      <c r="GZ23" s="1106"/>
      <c r="HA23" s="1106"/>
      <c r="HB23" s="1106"/>
      <c r="HC23" s="1106"/>
      <c r="HD23" s="1106"/>
      <c r="HE23" s="1106"/>
      <c r="HF23" s="1106"/>
      <c r="HG23" s="1106"/>
      <c r="HH23" s="1106"/>
    </row>
    <row r="24" spans="15:216" s="1105" customFormat="1" ht="12.75">
      <c r="O24" s="1106"/>
      <c r="P24" s="1106"/>
      <c r="Q24" s="1106"/>
      <c r="R24" s="1106"/>
      <c r="S24" s="1106"/>
      <c r="T24" s="1106"/>
      <c r="U24" s="1106"/>
      <c r="V24" s="1106"/>
      <c r="W24" s="1106"/>
      <c r="X24" s="1106"/>
      <c r="Y24" s="1106"/>
      <c r="Z24" s="1106"/>
      <c r="AA24" s="1106"/>
      <c r="AB24" s="1106"/>
      <c r="AC24" s="1106"/>
      <c r="AD24" s="1106"/>
      <c r="AE24" s="1106"/>
      <c r="AF24" s="1106"/>
      <c r="AG24" s="1106"/>
      <c r="AH24" s="1106"/>
      <c r="AI24" s="1106"/>
      <c r="AJ24" s="1106"/>
      <c r="AK24" s="1106"/>
      <c r="AL24" s="1106"/>
      <c r="AM24" s="1106"/>
      <c r="AN24" s="1106"/>
      <c r="AO24" s="1106"/>
      <c r="AP24" s="1106"/>
      <c r="AQ24" s="1106"/>
      <c r="AR24" s="1106"/>
      <c r="AS24" s="1106"/>
      <c r="AT24" s="1106"/>
      <c r="AU24" s="1106"/>
      <c r="AV24" s="1106"/>
      <c r="AW24" s="1106"/>
      <c r="AX24" s="1106"/>
      <c r="AY24" s="1106"/>
      <c r="AZ24" s="1106"/>
      <c r="BA24" s="1106"/>
      <c r="BB24" s="1106"/>
      <c r="BC24" s="1106"/>
      <c r="BD24" s="1106"/>
      <c r="BE24" s="1106"/>
      <c r="BF24" s="1106"/>
      <c r="BG24" s="1106"/>
      <c r="BH24" s="1106"/>
      <c r="BI24" s="1106"/>
      <c r="BJ24" s="1106"/>
      <c r="BK24" s="1106"/>
      <c r="BL24" s="1106"/>
      <c r="BM24" s="1106"/>
      <c r="BN24" s="1106"/>
      <c r="BO24" s="1106"/>
      <c r="BP24" s="1106"/>
      <c r="BQ24" s="1106"/>
      <c r="BR24" s="1106"/>
      <c r="BS24" s="1106"/>
      <c r="BT24" s="1106"/>
      <c r="BU24" s="1106"/>
      <c r="BV24" s="1106"/>
      <c r="BW24" s="1106"/>
      <c r="BX24" s="1106"/>
      <c r="BY24" s="1106"/>
      <c r="BZ24" s="1106"/>
      <c r="CA24" s="1106"/>
      <c r="CB24" s="1106"/>
      <c r="CC24" s="1106"/>
      <c r="CD24" s="1106"/>
      <c r="CE24" s="1106"/>
      <c r="CF24" s="1106"/>
      <c r="CG24" s="1106"/>
      <c r="CH24" s="1106"/>
      <c r="CI24" s="1106"/>
      <c r="CJ24" s="1106"/>
      <c r="CK24" s="1106"/>
      <c r="CL24" s="1106"/>
      <c r="CM24" s="1106"/>
      <c r="CN24" s="1106"/>
      <c r="CO24" s="1106"/>
      <c r="CP24" s="1106"/>
      <c r="CQ24" s="1106"/>
      <c r="CR24" s="1106"/>
      <c r="CS24" s="1106"/>
      <c r="CT24" s="1106"/>
      <c r="CU24" s="1106"/>
      <c r="CV24" s="1106"/>
      <c r="CW24" s="1106"/>
      <c r="CX24" s="1106"/>
      <c r="CY24" s="1106"/>
      <c r="CZ24" s="1106"/>
      <c r="DA24" s="1106"/>
      <c r="DB24" s="1106"/>
      <c r="DC24" s="1106"/>
      <c r="DD24" s="1106"/>
      <c r="DE24" s="1106"/>
      <c r="DF24" s="1106"/>
      <c r="DG24" s="1106"/>
      <c r="DH24" s="1106"/>
      <c r="DI24" s="1106"/>
      <c r="DJ24" s="1106"/>
      <c r="DK24" s="1106"/>
      <c r="DL24" s="1106"/>
      <c r="DM24" s="1106"/>
      <c r="DN24" s="1106"/>
      <c r="DO24" s="1106"/>
      <c r="DP24" s="1106"/>
      <c r="DQ24" s="1106"/>
      <c r="DR24" s="1106"/>
      <c r="DS24" s="1106"/>
      <c r="DT24" s="1106"/>
      <c r="DU24" s="1106"/>
      <c r="DV24" s="1106"/>
      <c r="DW24" s="1106"/>
      <c r="DX24" s="1106"/>
      <c r="DY24" s="1106"/>
      <c r="DZ24" s="1106"/>
      <c r="EA24" s="1106"/>
      <c r="EB24" s="1106"/>
      <c r="EC24" s="1106"/>
      <c r="ED24" s="1106"/>
      <c r="EE24" s="1106"/>
      <c r="EF24" s="1106"/>
      <c r="EG24" s="1106"/>
      <c r="EH24" s="1106"/>
      <c r="EI24" s="1106"/>
      <c r="EJ24" s="1106"/>
      <c r="EK24" s="1106"/>
      <c r="EL24" s="1106"/>
      <c r="EM24" s="1106"/>
      <c r="EN24" s="1106"/>
      <c r="EO24" s="1106"/>
      <c r="EP24" s="1106"/>
      <c r="EQ24" s="1106"/>
      <c r="ER24" s="1106"/>
      <c r="ES24" s="1106"/>
      <c r="ET24" s="1106"/>
      <c r="EU24" s="1106"/>
      <c r="EV24" s="1106"/>
      <c r="EW24" s="1106"/>
      <c r="EX24" s="1106"/>
      <c r="EY24" s="1106"/>
      <c r="EZ24" s="1106"/>
      <c r="FA24" s="1106"/>
      <c r="FB24" s="1106"/>
      <c r="FC24" s="1106"/>
      <c r="FD24" s="1106"/>
      <c r="FE24" s="1106"/>
      <c r="FF24" s="1106"/>
      <c r="FG24" s="1106"/>
      <c r="FH24" s="1106"/>
      <c r="FI24" s="1106"/>
      <c r="FJ24" s="1106"/>
      <c r="FK24" s="1106"/>
      <c r="FL24" s="1106"/>
      <c r="FM24" s="1106"/>
      <c r="FN24" s="1106"/>
      <c r="FO24" s="1106"/>
      <c r="FP24" s="1106"/>
      <c r="FQ24" s="1106"/>
      <c r="FR24" s="1106"/>
      <c r="FS24" s="1106"/>
      <c r="FT24" s="1106"/>
      <c r="FU24" s="1106"/>
      <c r="FV24" s="1106"/>
      <c r="FW24" s="1106"/>
      <c r="FX24" s="1106"/>
      <c r="FY24" s="1106"/>
      <c r="FZ24" s="1106"/>
      <c r="GA24" s="1106"/>
      <c r="GB24" s="1106"/>
      <c r="GC24" s="1106"/>
      <c r="GD24" s="1106"/>
      <c r="GE24" s="1106"/>
      <c r="GF24" s="1106"/>
      <c r="GG24" s="1106"/>
      <c r="GH24" s="1106"/>
      <c r="GI24" s="1106"/>
      <c r="GJ24" s="1106"/>
      <c r="GK24" s="1106"/>
      <c r="GL24" s="1106"/>
      <c r="GM24" s="1106"/>
      <c r="GN24" s="1106"/>
      <c r="GO24" s="1106"/>
      <c r="GP24" s="1106"/>
      <c r="GQ24" s="1106"/>
      <c r="GR24" s="1106"/>
      <c r="GS24" s="1106"/>
      <c r="GT24" s="1106"/>
      <c r="GU24" s="1106"/>
      <c r="GV24" s="1106"/>
      <c r="GW24" s="1106"/>
      <c r="GX24" s="1106"/>
      <c r="GY24" s="1106"/>
      <c r="GZ24" s="1106"/>
      <c r="HA24" s="1106"/>
      <c r="HB24" s="1106"/>
      <c r="HC24" s="1106"/>
      <c r="HD24" s="1106"/>
      <c r="HE24" s="1106"/>
      <c r="HF24" s="1106"/>
      <c r="HG24" s="1106"/>
      <c r="HH24" s="1106"/>
    </row>
    <row r="25" spans="15:216" s="1105" customFormat="1" ht="12.75">
      <c r="O25" s="1106"/>
      <c r="P25" s="1106"/>
      <c r="Q25" s="1106"/>
      <c r="R25" s="1106"/>
      <c r="S25" s="1106"/>
      <c r="T25" s="1106"/>
      <c r="U25" s="1106"/>
      <c r="V25" s="1106"/>
      <c r="W25" s="1106"/>
      <c r="X25" s="1106"/>
      <c r="Y25" s="1106"/>
      <c r="Z25" s="1106"/>
      <c r="AA25" s="1106"/>
      <c r="AB25" s="1106"/>
      <c r="AC25" s="1106"/>
      <c r="AD25" s="1106"/>
      <c r="AE25" s="1106"/>
      <c r="AF25" s="1106"/>
      <c r="AG25" s="1106"/>
      <c r="AH25" s="1106"/>
      <c r="AI25" s="1106"/>
      <c r="AJ25" s="1106"/>
      <c r="AK25" s="1106"/>
      <c r="AL25" s="1106"/>
      <c r="AM25" s="1106"/>
      <c r="AN25" s="1106"/>
      <c r="AO25" s="1106"/>
      <c r="AP25" s="1106"/>
      <c r="AQ25" s="1106"/>
      <c r="AR25" s="1106"/>
      <c r="AS25" s="1106"/>
      <c r="AT25" s="1106"/>
      <c r="AU25" s="1106"/>
      <c r="AV25" s="1106"/>
      <c r="AW25" s="1106"/>
      <c r="AX25" s="1106"/>
      <c r="AY25" s="1106"/>
      <c r="AZ25" s="1106"/>
      <c r="BA25" s="1106"/>
      <c r="BB25" s="1106"/>
      <c r="BC25" s="1106"/>
      <c r="BD25" s="1106"/>
      <c r="BE25" s="1106"/>
      <c r="BF25" s="1106"/>
      <c r="BG25" s="1106"/>
      <c r="BH25" s="1106"/>
      <c r="BI25" s="1106"/>
      <c r="BJ25" s="1106"/>
      <c r="BK25" s="1106"/>
      <c r="BL25" s="1106"/>
      <c r="BM25" s="1106"/>
      <c r="BN25" s="1106"/>
      <c r="BO25" s="1106"/>
      <c r="BP25" s="1106"/>
      <c r="BQ25" s="1106"/>
      <c r="BR25" s="1106"/>
      <c r="BS25" s="1106"/>
      <c r="BT25" s="1106"/>
      <c r="BU25" s="1106"/>
      <c r="BV25" s="1106"/>
      <c r="BW25" s="1106"/>
      <c r="BX25" s="1106"/>
      <c r="BY25" s="1106"/>
      <c r="BZ25" s="1106"/>
      <c r="CA25" s="1106"/>
      <c r="CB25" s="1106"/>
      <c r="CC25" s="1106"/>
      <c r="CD25" s="1106"/>
      <c r="CE25" s="1106"/>
      <c r="CF25" s="1106"/>
      <c r="CG25" s="1106"/>
      <c r="CH25" s="1106"/>
      <c r="CI25" s="1106"/>
      <c r="CJ25" s="1106"/>
      <c r="CK25" s="1106"/>
      <c r="CL25" s="1106"/>
      <c r="CM25" s="1106"/>
      <c r="CN25" s="1106"/>
      <c r="CO25" s="1106"/>
      <c r="CP25" s="1106"/>
      <c r="CQ25" s="1106"/>
      <c r="CR25" s="1106"/>
      <c r="CS25" s="1106"/>
      <c r="CT25" s="1106"/>
      <c r="CU25" s="1106"/>
      <c r="CV25" s="1106"/>
      <c r="CW25" s="1106"/>
      <c r="CX25" s="1106"/>
      <c r="CY25" s="1106"/>
      <c r="CZ25" s="1106"/>
      <c r="DA25" s="1106"/>
      <c r="DB25" s="1106"/>
      <c r="DC25" s="1106"/>
      <c r="DD25" s="1106"/>
      <c r="DE25" s="1106"/>
      <c r="DF25" s="1106"/>
      <c r="DG25" s="1106"/>
      <c r="DH25" s="1106"/>
      <c r="DI25" s="1106"/>
      <c r="DJ25" s="1106"/>
      <c r="DK25" s="1106"/>
      <c r="DL25" s="1106"/>
      <c r="DM25" s="1106"/>
      <c r="DN25" s="1106"/>
      <c r="DO25" s="1106"/>
      <c r="DP25" s="1106"/>
      <c r="DQ25" s="1106"/>
      <c r="DR25" s="1106"/>
      <c r="DS25" s="1106"/>
      <c r="DT25" s="1106"/>
      <c r="DU25" s="1106"/>
      <c r="DV25" s="1106"/>
      <c r="DW25" s="1106"/>
      <c r="DX25" s="1106"/>
      <c r="DY25" s="1106"/>
      <c r="DZ25" s="1106"/>
      <c r="EA25" s="1106"/>
      <c r="EB25" s="1106"/>
      <c r="EC25" s="1106"/>
      <c r="ED25" s="1106"/>
      <c r="EE25" s="1106"/>
      <c r="EF25" s="1106"/>
      <c r="EG25" s="1106"/>
      <c r="EH25" s="1106"/>
      <c r="EI25" s="1106"/>
      <c r="EJ25" s="1106"/>
      <c r="EK25" s="1106"/>
      <c r="EL25" s="1106"/>
      <c r="EM25" s="1106"/>
      <c r="EN25" s="1106"/>
      <c r="EO25" s="1106"/>
      <c r="EP25" s="1106"/>
      <c r="EQ25" s="1106"/>
      <c r="ER25" s="1106"/>
      <c r="ES25" s="1106"/>
      <c r="ET25" s="1106"/>
      <c r="EU25" s="1106"/>
      <c r="EV25" s="1106"/>
      <c r="EW25" s="1106"/>
      <c r="EX25" s="1106"/>
      <c r="EY25" s="1106"/>
      <c r="EZ25" s="1106"/>
      <c r="FA25" s="1106"/>
      <c r="FB25" s="1106"/>
      <c r="FC25" s="1106"/>
      <c r="FD25" s="1106"/>
      <c r="FE25" s="1106"/>
      <c r="FF25" s="1106"/>
      <c r="FG25" s="1106"/>
      <c r="FH25" s="1106"/>
      <c r="FI25" s="1106"/>
      <c r="FJ25" s="1106"/>
      <c r="FK25" s="1106"/>
      <c r="FL25" s="1106"/>
      <c r="FM25" s="1106"/>
      <c r="FN25" s="1106"/>
      <c r="FO25" s="1106"/>
      <c r="FP25" s="1106"/>
      <c r="FQ25" s="1106"/>
      <c r="FR25" s="1106"/>
      <c r="FS25" s="1106"/>
      <c r="FT25" s="1106"/>
      <c r="FU25" s="1106"/>
      <c r="FV25" s="1106"/>
      <c r="FW25" s="1106"/>
      <c r="FX25" s="1106"/>
      <c r="FY25" s="1106"/>
      <c r="FZ25" s="1106"/>
      <c r="GA25" s="1106"/>
      <c r="GB25" s="1106"/>
      <c r="GC25" s="1106"/>
      <c r="GD25" s="1106"/>
      <c r="GE25" s="1106"/>
      <c r="GF25" s="1106"/>
      <c r="GG25" s="1106"/>
      <c r="GH25" s="1106"/>
      <c r="GI25" s="1106"/>
      <c r="GJ25" s="1106"/>
      <c r="GK25" s="1106"/>
      <c r="GL25" s="1106"/>
      <c r="GM25" s="1106"/>
      <c r="GN25" s="1106"/>
      <c r="GO25" s="1106"/>
      <c r="GP25" s="1106"/>
      <c r="GQ25" s="1106"/>
      <c r="GR25" s="1106"/>
      <c r="GS25" s="1106"/>
      <c r="GT25" s="1106"/>
      <c r="GU25" s="1106"/>
      <c r="GV25" s="1106"/>
      <c r="GW25" s="1106"/>
      <c r="GX25" s="1106"/>
      <c r="GY25" s="1106"/>
      <c r="GZ25" s="1106"/>
      <c r="HA25" s="1106"/>
      <c r="HB25" s="1106"/>
      <c r="HC25" s="1106"/>
      <c r="HD25" s="1106"/>
      <c r="HE25" s="1106"/>
      <c r="HF25" s="1106"/>
      <c r="HG25" s="1106"/>
      <c r="HH25" s="1106"/>
    </row>
    <row r="26" spans="15:216" s="1105" customFormat="1" ht="12.75">
      <c r="O26" s="1106"/>
      <c r="P26" s="1106"/>
      <c r="Q26" s="1106"/>
      <c r="R26" s="1106"/>
      <c r="S26" s="1106"/>
      <c r="T26" s="1106"/>
      <c r="U26" s="1106"/>
      <c r="V26" s="1106"/>
      <c r="W26" s="1106"/>
      <c r="X26" s="1106"/>
      <c r="Y26" s="1106"/>
      <c r="Z26" s="1106"/>
      <c r="AA26" s="1106"/>
      <c r="AB26" s="1106"/>
      <c r="AC26" s="1106"/>
      <c r="AD26" s="1106"/>
      <c r="AE26" s="1106"/>
      <c r="AF26" s="1106"/>
      <c r="AG26" s="1106"/>
      <c r="AH26" s="1106"/>
      <c r="AI26" s="1106"/>
      <c r="AJ26" s="1106"/>
      <c r="AK26" s="1106"/>
      <c r="AL26" s="1106"/>
      <c r="AM26" s="1106"/>
      <c r="AN26" s="1106"/>
      <c r="AO26" s="1106"/>
      <c r="AP26" s="1106"/>
      <c r="AQ26" s="1106"/>
      <c r="AR26" s="1106"/>
      <c r="AS26" s="1106"/>
      <c r="AT26" s="1106"/>
      <c r="AU26" s="1106"/>
      <c r="AV26" s="1106"/>
      <c r="AW26" s="1106"/>
      <c r="AX26" s="1106"/>
      <c r="AY26" s="1106"/>
      <c r="AZ26" s="1106"/>
      <c r="BA26" s="1106"/>
      <c r="BB26" s="1106"/>
      <c r="BC26" s="1106"/>
      <c r="BD26" s="1106"/>
      <c r="BE26" s="1106"/>
      <c r="BF26" s="1106"/>
      <c r="BG26" s="1106"/>
      <c r="BH26" s="1106"/>
      <c r="BI26" s="1106"/>
      <c r="BJ26" s="1106"/>
      <c r="BK26" s="1106"/>
      <c r="BL26" s="1106"/>
      <c r="BM26" s="1106"/>
      <c r="BN26" s="1106"/>
      <c r="BO26" s="1106"/>
      <c r="BP26" s="1106"/>
      <c r="BQ26" s="1106"/>
      <c r="BR26" s="1106"/>
      <c r="BS26" s="1106"/>
      <c r="BT26" s="1106"/>
      <c r="BU26" s="1106"/>
      <c r="BV26" s="1106"/>
      <c r="BW26" s="1106"/>
      <c r="BX26" s="1106"/>
      <c r="BY26" s="1106"/>
      <c r="BZ26" s="1106"/>
      <c r="CA26" s="1106"/>
      <c r="CB26" s="1106"/>
      <c r="CC26" s="1106"/>
      <c r="CD26" s="1106"/>
      <c r="CE26" s="1106"/>
      <c r="CF26" s="1106"/>
      <c r="CG26" s="1106"/>
      <c r="CH26" s="1106"/>
      <c r="CI26" s="1106"/>
      <c r="CJ26" s="1106"/>
      <c r="CK26" s="1106"/>
      <c r="CL26" s="1106"/>
      <c r="CM26" s="1106"/>
      <c r="CN26" s="1106"/>
      <c r="CO26" s="1106"/>
      <c r="CP26" s="1106"/>
      <c r="CQ26" s="1106"/>
      <c r="CR26" s="1106"/>
      <c r="CS26" s="1106"/>
      <c r="CT26" s="1106"/>
      <c r="CU26" s="1106"/>
      <c r="CV26" s="1106"/>
      <c r="CW26" s="1106"/>
      <c r="CX26" s="1106"/>
      <c r="CY26" s="1106"/>
      <c r="CZ26" s="1106"/>
      <c r="DA26" s="1106"/>
      <c r="DB26" s="1106"/>
      <c r="DC26" s="1106"/>
      <c r="DD26" s="1106"/>
      <c r="DE26" s="1106"/>
      <c r="DF26" s="1106"/>
      <c r="DG26" s="1106"/>
      <c r="DH26" s="1106"/>
      <c r="DI26" s="1106"/>
      <c r="DJ26" s="1106"/>
      <c r="DK26" s="1106"/>
      <c r="DL26" s="1106"/>
      <c r="DM26" s="1106"/>
      <c r="DN26" s="1106"/>
      <c r="DO26" s="1106"/>
      <c r="DP26" s="1106"/>
      <c r="DQ26" s="1106"/>
      <c r="DR26" s="1106"/>
      <c r="DS26" s="1106"/>
      <c r="DT26" s="1106"/>
      <c r="DU26" s="1106"/>
      <c r="DV26" s="1106"/>
      <c r="DW26" s="1106"/>
      <c r="DX26" s="1106"/>
      <c r="DY26" s="1106"/>
      <c r="DZ26" s="1106"/>
      <c r="EA26" s="1106"/>
      <c r="EB26" s="1106"/>
      <c r="EC26" s="1106"/>
      <c r="ED26" s="1106"/>
      <c r="EE26" s="1106"/>
      <c r="EF26" s="1106"/>
      <c r="EG26" s="1106"/>
      <c r="EH26" s="1106"/>
      <c r="EI26" s="1106"/>
      <c r="EJ26" s="1106"/>
      <c r="EK26" s="1106"/>
      <c r="EL26" s="1106"/>
      <c r="EM26" s="1106"/>
      <c r="EN26" s="1106"/>
      <c r="EO26" s="1106"/>
      <c r="EP26" s="1106"/>
      <c r="EQ26" s="1106"/>
      <c r="ER26" s="1106"/>
      <c r="ES26" s="1106"/>
      <c r="ET26" s="1106"/>
      <c r="EU26" s="1106"/>
      <c r="EV26" s="1106"/>
      <c r="EW26" s="1106"/>
      <c r="EX26" s="1106"/>
      <c r="EY26" s="1106"/>
      <c r="EZ26" s="1106"/>
      <c r="FA26" s="1106"/>
      <c r="FB26" s="1106"/>
      <c r="FC26" s="1106"/>
      <c r="FD26" s="1106"/>
      <c r="FE26" s="1106"/>
      <c r="FF26" s="1106"/>
      <c r="FG26" s="1106"/>
      <c r="FH26" s="1106"/>
      <c r="FI26" s="1106"/>
      <c r="FJ26" s="1106"/>
      <c r="FK26" s="1106"/>
      <c r="FL26" s="1106"/>
      <c r="FM26" s="1106"/>
      <c r="FN26" s="1106"/>
      <c r="FO26" s="1106"/>
      <c r="FP26" s="1106"/>
      <c r="FQ26" s="1106"/>
      <c r="FR26" s="1106"/>
      <c r="FS26" s="1106"/>
      <c r="FT26" s="1106"/>
      <c r="FU26" s="1106"/>
      <c r="FV26" s="1106"/>
      <c r="FW26" s="1106"/>
      <c r="FX26" s="1106"/>
      <c r="FY26" s="1106"/>
      <c r="FZ26" s="1106"/>
      <c r="GA26" s="1106"/>
      <c r="GB26" s="1106"/>
      <c r="GC26" s="1106"/>
      <c r="GD26" s="1106"/>
      <c r="GE26" s="1106"/>
      <c r="GF26" s="1106"/>
      <c r="GG26" s="1106"/>
      <c r="GH26" s="1106"/>
      <c r="GI26" s="1106"/>
      <c r="GJ26" s="1106"/>
      <c r="GK26" s="1106"/>
      <c r="GL26" s="1106"/>
      <c r="GM26" s="1106"/>
      <c r="GN26" s="1106"/>
      <c r="GO26" s="1106"/>
      <c r="GP26" s="1106"/>
      <c r="GQ26" s="1106"/>
      <c r="GR26" s="1106"/>
      <c r="GS26" s="1106"/>
      <c r="GT26" s="1106"/>
      <c r="GU26" s="1106"/>
      <c r="GV26" s="1106"/>
      <c r="GW26" s="1106"/>
      <c r="GX26" s="1106"/>
      <c r="GY26" s="1106"/>
      <c r="GZ26" s="1106"/>
      <c r="HA26" s="1106"/>
      <c r="HB26" s="1106"/>
      <c r="HC26" s="1106"/>
      <c r="HD26" s="1106"/>
      <c r="HE26" s="1106"/>
      <c r="HF26" s="1106"/>
      <c r="HG26" s="1106"/>
      <c r="HH26" s="1106"/>
    </row>
    <row r="27" spans="15:216" s="1105" customFormat="1" ht="12.75">
      <c r="O27" s="1106"/>
      <c r="P27" s="1106"/>
      <c r="Q27" s="1106"/>
      <c r="R27" s="1106"/>
      <c r="S27" s="1106"/>
      <c r="T27" s="1106"/>
      <c r="U27" s="1106"/>
      <c r="V27" s="1106"/>
      <c r="W27" s="1106"/>
      <c r="X27" s="1106"/>
      <c r="Y27" s="1106"/>
      <c r="Z27" s="1106"/>
      <c r="AA27" s="1106"/>
      <c r="AB27" s="1106"/>
      <c r="AC27" s="1106"/>
      <c r="AD27" s="1106"/>
      <c r="AE27" s="1106"/>
      <c r="AF27" s="1106"/>
      <c r="AG27" s="1106"/>
      <c r="AH27" s="1106"/>
      <c r="AI27" s="1106"/>
      <c r="AJ27" s="1106"/>
      <c r="AK27" s="1106"/>
      <c r="AL27" s="1106"/>
      <c r="AM27" s="1106"/>
      <c r="AN27" s="1106"/>
      <c r="AO27" s="1106"/>
      <c r="AP27" s="1106"/>
      <c r="AQ27" s="1106"/>
      <c r="AR27" s="1106"/>
      <c r="AS27" s="1106"/>
      <c r="AT27" s="1106"/>
      <c r="AU27" s="1106"/>
      <c r="AV27" s="1106"/>
      <c r="AW27" s="1106"/>
      <c r="AX27" s="1106"/>
      <c r="AY27" s="1106"/>
      <c r="AZ27" s="1106"/>
      <c r="BA27" s="1106"/>
      <c r="BB27" s="1106"/>
      <c r="BC27" s="1106"/>
      <c r="BD27" s="1106"/>
      <c r="BE27" s="1106"/>
      <c r="BF27" s="1106"/>
      <c r="BG27" s="1106"/>
      <c r="BH27" s="1106"/>
      <c r="BI27" s="1106"/>
      <c r="BJ27" s="1106"/>
      <c r="BK27" s="1106"/>
      <c r="BL27" s="1106"/>
      <c r="BM27" s="1106"/>
      <c r="BN27" s="1106"/>
      <c r="BO27" s="1106"/>
      <c r="BP27" s="1106"/>
      <c r="BQ27" s="1106"/>
      <c r="BR27" s="1106"/>
      <c r="BS27" s="1106"/>
      <c r="BT27" s="1106"/>
      <c r="BU27" s="1106"/>
      <c r="BV27" s="1106"/>
      <c r="BW27" s="1106"/>
      <c r="BX27" s="1106"/>
      <c r="BY27" s="1106"/>
      <c r="BZ27" s="1106"/>
      <c r="CA27" s="1106"/>
      <c r="CB27" s="1106"/>
      <c r="CC27" s="1106"/>
      <c r="CD27" s="1106"/>
      <c r="CE27" s="1106"/>
      <c r="CF27" s="1106"/>
      <c r="CG27" s="1106"/>
      <c r="CH27" s="1106"/>
      <c r="CI27" s="1106"/>
      <c r="CJ27" s="1106"/>
      <c r="CK27" s="1106"/>
      <c r="CL27" s="1106"/>
      <c r="CM27" s="1106"/>
      <c r="CN27" s="1106"/>
      <c r="CO27" s="1106"/>
      <c r="CP27" s="1106"/>
      <c r="CQ27" s="1106"/>
      <c r="CR27" s="1106"/>
      <c r="CS27" s="1106"/>
      <c r="CT27" s="1106"/>
      <c r="CU27" s="1106"/>
      <c r="CV27" s="1106"/>
      <c r="CW27" s="1106"/>
      <c r="CX27" s="1106"/>
      <c r="CY27" s="1106"/>
      <c r="CZ27" s="1106"/>
      <c r="DA27" s="1106"/>
      <c r="DB27" s="1106"/>
      <c r="DC27" s="1106"/>
      <c r="DD27" s="1106"/>
      <c r="DE27" s="1106"/>
      <c r="DF27" s="1106"/>
      <c r="DG27" s="1106"/>
      <c r="DH27" s="1106"/>
      <c r="DI27" s="1106"/>
      <c r="DJ27" s="1106"/>
      <c r="DK27" s="1106"/>
      <c r="DL27" s="1106"/>
      <c r="DM27" s="1106"/>
      <c r="DN27" s="1106"/>
      <c r="DO27" s="1106"/>
      <c r="DP27" s="1106"/>
      <c r="DQ27" s="1106"/>
      <c r="DR27" s="1106"/>
      <c r="DS27" s="1106"/>
      <c r="DT27" s="1106"/>
      <c r="DU27" s="1106"/>
      <c r="DV27" s="1106"/>
      <c r="DW27" s="1106"/>
      <c r="DX27" s="1106"/>
      <c r="DY27" s="1106"/>
      <c r="DZ27" s="1106"/>
      <c r="EA27" s="1106"/>
      <c r="EB27" s="1106"/>
      <c r="EC27" s="1106"/>
      <c r="ED27" s="1106"/>
      <c r="EE27" s="1106"/>
      <c r="EF27" s="1106"/>
      <c r="EG27" s="1106"/>
      <c r="EH27" s="1106"/>
      <c r="EI27" s="1106"/>
      <c r="EJ27" s="1106"/>
      <c r="EK27" s="1106"/>
      <c r="EL27" s="1106"/>
      <c r="EM27" s="1106"/>
      <c r="EN27" s="1106"/>
      <c r="EO27" s="1106"/>
      <c r="EP27" s="1106"/>
      <c r="EQ27" s="1106"/>
      <c r="ER27" s="1106"/>
      <c r="ES27" s="1106"/>
      <c r="ET27" s="1106"/>
      <c r="EU27" s="1106"/>
      <c r="EV27" s="1106"/>
      <c r="EW27" s="1106"/>
      <c r="EX27" s="1106"/>
      <c r="EY27" s="1106"/>
      <c r="EZ27" s="1106"/>
      <c r="FA27" s="1106"/>
      <c r="FB27" s="1106"/>
      <c r="FC27" s="1106"/>
      <c r="FD27" s="1106"/>
      <c r="FE27" s="1106"/>
      <c r="FF27" s="1106"/>
      <c r="FG27" s="1106"/>
      <c r="FH27" s="1106"/>
      <c r="FI27" s="1106"/>
      <c r="FJ27" s="1106"/>
      <c r="FK27" s="1106"/>
      <c r="FL27" s="1106"/>
      <c r="FM27" s="1106"/>
      <c r="FN27" s="1106"/>
      <c r="FO27" s="1106"/>
      <c r="FP27" s="1106"/>
      <c r="FQ27" s="1106"/>
      <c r="FR27" s="1106"/>
      <c r="FS27" s="1106"/>
      <c r="FT27" s="1106"/>
      <c r="FU27" s="1106"/>
      <c r="FV27" s="1106"/>
      <c r="FW27" s="1106"/>
      <c r="FX27" s="1106"/>
      <c r="FY27" s="1106"/>
      <c r="FZ27" s="1106"/>
      <c r="GA27" s="1106"/>
      <c r="GB27" s="1106"/>
      <c r="GC27" s="1106"/>
      <c r="GD27" s="1106"/>
      <c r="GE27" s="1106"/>
      <c r="GF27" s="1106"/>
      <c r="GG27" s="1106"/>
      <c r="GH27" s="1106"/>
      <c r="GI27" s="1106"/>
      <c r="GJ27" s="1106"/>
      <c r="GK27" s="1106"/>
      <c r="GL27" s="1106"/>
      <c r="GM27" s="1106"/>
      <c r="GN27" s="1106"/>
      <c r="GO27" s="1106"/>
      <c r="GP27" s="1106"/>
      <c r="GQ27" s="1106"/>
      <c r="GR27" s="1106"/>
      <c r="GS27" s="1106"/>
      <c r="GT27" s="1106"/>
      <c r="GU27" s="1106"/>
      <c r="GV27" s="1106"/>
      <c r="GW27" s="1106"/>
      <c r="GX27" s="1106"/>
      <c r="GY27" s="1106"/>
      <c r="GZ27" s="1106"/>
      <c r="HA27" s="1106"/>
      <c r="HB27" s="1106"/>
      <c r="HC27" s="1106"/>
      <c r="HD27" s="1106"/>
      <c r="HE27" s="1106"/>
      <c r="HF27" s="1106"/>
      <c r="HG27" s="1106"/>
      <c r="HH27" s="1106"/>
    </row>
    <row r="28" spans="15:216" s="1105" customFormat="1" ht="12.75">
      <c r="O28" s="1106"/>
      <c r="P28" s="1106"/>
      <c r="Q28" s="1106"/>
      <c r="R28" s="1106"/>
      <c r="S28" s="1106"/>
      <c r="T28" s="1106"/>
      <c r="U28" s="1106"/>
      <c r="V28" s="1106"/>
      <c r="W28" s="1106"/>
      <c r="X28" s="1106"/>
      <c r="Y28" s="1106"/>
      <c r="Z28" s="1106"/>
      <c r="AA28" s="1106"/>
      <c r="AB28" s="1106"/>
      <c r="AC28" s="1106"/>
      <c r="AD28" s="1106"/>
      <c r="AE28" s="1106"/>
      <c r="AF28" s="1106"/>
      <c r="AG28" s="1106"/>
      <c r="AH28" s="1106"/>
      <c r="AI28" s="1106"/>
      <c r="AJ28" s="1106"/>
      <c r="AK28" s="1106"/>
      <c r="AL28" s="1106"/>
      <c r="AM28" s="1106"/>
      <c r="AN28" s="1106"/>
      <c r="AO28" s="1106"/>
      <c r="AP28" s="1106"/>
      <c r="AQ28" s="1106"/>
      <c r="AR28" s="1106"/>
      <c r="AS28" s="1106"/>
      <c r="AT28" s="1106"/>
      <c r="AU28" s="1106"/>
      <c r="AV28" s="1106"/>
      <c r="AW28" s="1106"/>
      <c r="AX28" s="1106"/>
      <c r="AY28" s="1106"/>
      <c r="AZ28" s="1106"/>
      <c r="BA28" s="1106"/>
      <c r="BB28" s="1106"/>
      <c r="BC28" s="1106"/>
      <c r="BD28" s="1106"/>
      <c r="BE28" s="1106"/>
      <c r="BF28" s="1106"/>
      <c r="BG28" s="1106"/>
      <c r="BH28" s="1106"/>
      <c r="BI28" s="1106"/>
      <c r="BJ28" s="1106"/>
      <c r="BK28" s="1106"/>
      <c r="BL28" s="1106"/>
      <c r="BM28" s="1106"/>
      <c r="BN28" s="1106"/>
      <c r="BO28" s="1106"/>
      <c r="BP28" s="1106"/>
      <c r="BQ28" s="1106"/>
      <c r="BR28" s="1106"/>
      <c r="BS28" s="1106"/>
      <c r="BT28" s="1106"/>
      <c r="BU28" s="1106"/>
      <c r="BV28" s="1106"/>
      <c r="BW28" s="1106"/>
      <c r="BX28" s="1106"/>
      <c r="BY28" s="1106"/>
      <c r="BZ28" s="1106"/>
      <c r="CA28" s="1106"/>
      <c r="CB28" s="1106"/>
      <c r="CC28" s="1106"/>
      <c r="CD28" s="1106"/>
      <c r="CE28" s="1106"/>
      <c r="CF28" s="1106"/>
      <c r="CG28" s="1106"/>
      <c r="CH28" s="1106"/>
      <c r="CI28" s="1106"/>
      <c r="CJ28" s="1106"/>
      <c r="CK28" s="1106"/>
      <c r="CL28" s="1106"/>
      <c r="CM28" s="1106"/>
      <c r="CN28" s="1106"/>
      <c r="CO28" s="1106"/>
      <c r="CP28" s="1106"/>
      <c r="CQ28" s="1106"/>
      <c r="CR28" s="1106"/>
      <c r="CS28" s="1106"/>
      <c r="CT28" s="1106"/>
      <c r="CU28" s="1106"/>
      <c r="CV28" s="1106"/>
      <c r="CW28" s="1106"/>
      <c r="CX28" s="1106"/>
      <c r="CY28" s="1106"/>
      <c r="CZ28" s="1106"/>
      <c r="DA28" s="1106"/>
      <c r="DB28" s="1106"/>
      <c r="DC28" s="1106"/>
      <c r="DD28" s="1106"/>
      <c r="DE28" s="1106"/>
      <c r="DF28" s="1106"/>
      <c r="DG28" s="1106"/>
      <c r="DH28" s="1106"/>
      <c r="DI28" s="1106"/>
      <c r="DJ28" s="1106"/>
      <c r="DK28" s="1106"/>
      <c r="DL28" s="1106"/>
      <c r="DM28" s="1106"/>
      <c r="DN28" s="1106"/>
      <c r="DO28" s="1106"/>
      <c r="DP28" s="1106"/>
      <c r="DQ28" s="1106"/>
      <c r="DR28" s="1106"/>
      <c r="DS28" s="1106"/>
      <c r="DT28" s="1106"/>
      <c r="DU28" s="1106"/>
      <c r="DV28" s="1106"/>
      <c r="DW28" s="1106"/>
      <c r="DX28" s="1106"/>
      <c r="DY28" s="1106"/>
      <c r="DZ28" s="1106"/>
      <c r="EA28" s="1106"/>
      <c r="EB28" s="1106"/>
      <c r="EC28" s="1106"/>
      <c r="ED28" s="1106"/>
      <c r="EE28" s="1106"/>
      <c r="EF28" s="1106"/>
      <c r="EG28" s="1106"/>
      <c r="EH28" s="1106"/>
      <c r="EI28" s="1106"/>
      <c r="EJ28" s="1106"/>
      <c r="EK28" s="1106"/>
      <c r="EL28" s="1106"/>
      <c r="EM28" s="1106"/>
      <c r="EN28" s="1106"/>
      <c r="EO28" s="1106"/>
      <c r="EP28" s="1106"/>
      <c r="EQ28" s="1106"/>
      <c r="ER28" s="1106"/>
      <c r="ES28" s="1106"/>
      <c r="ET28" s="1106"/>
      <c r="EU28" s="1106"/>
      <c r="EV28" s="1106"/>
      <c r="EW28" s="1106"/>
      <c r="EX28" s="1106"/>
      <c r="EY28" s="1106"/>
      <c r="EZ28" s="1106"/>
      <c r="FA28" s="1106"/>
      <c r="FB28" s="1106"/>
      <c r="FC28" s="1106"/>
      <c r="FD28" s="1106"/>
      <c r="FE28" s="1106"/>
      <c r="FF28" s="1106"/>
      <c r="FG28" s="1106"/>
      <c r="FH28" s="1106"/>
      <c r="FI28" s="1106"/>
      <c r="FJ28" s="1106"/>
      <c r="FK28" s="1106"/>
      <c r="FL28" s="1106"/>
      <c r="FM28" s="1106"/>
      <c r="FN28" s="1106"/>
      <c r="FO28" s="1106"/>
      <c r="FP28" s="1106"/>
      <c r="FQ28" s="1106"/>
      <c r="FR28" s="1106"/>
      <c r="FS28" s="1106"/>
      <c r="FT28" s="1106"/>
      <c r="FU28" s="1106"/>
      <c r="FV28" s="1106"/>
      <c r="FW28" s="1106"/>
      <c r="FX28" s="1106"/>
      <c r="FY28" s="1106"/>
      <c r="FZ28" s="1106"/>
      <c r="GA28" s="1106"/>
      <c r="GB28" s="1106"/>
      <c r="GC28" s="1106"/>
      <c r="GD28" s="1106"/>
      <c r="GE28" s="1106"/>
      <c r="GF28" s="1106"/>
      <c r="GG28" s="1106"/>
      <c r="GH28" s="1106"/>
      <c r="GI28" s="1106"/>
      <c r="GJ28" s="1106"/>
      <c r="GK28" s="1106"/>
      <c r="GL28" s="1106"/>
      <c r="GM28" s="1106"/>
      <c r="GN28" s="1106"/>
      <c r="GO28" s="1106"/>
      <c r="GP28" s="1106"/>
      <c r="GQ28" s="1106"/>
      <c r="GR28" s="1106"/>
      <c r="GS28" s="1106"/>
      <c r="GT28" s="1106"/>
      <c r="GU28" s="1106"/>
      <c r="GV28" s="1106"/>
      <c r="GW28" s="1106"/>
      <c r="GX28" s="1106"/>
      <c r="GY28" s="1106"/>
      <c r="GZ28" s="1106"/>
      <c r="HA28" s="1106"/>
      <c r="HB28" s="1106"/>
      <c r="HC28" s="1106"/>
      <c r="HD28" s="1106"/>
      <c r="HE28" s="1106"/>
      <c r="HF28" s="1106"/>
      <c r="HG28" s="1106"/>
      <c r="HH28" s="1106"/>
    </row>
    <row r="29" spans="15:216" s="1105" customFormat="1" ht="12.75">
      <c r="O29" s="1106"/>
      <c r="P29" s="1106"/>
      <c r="Q29" s="1106"/>
      <c r="R29" s="1106"/>
      <c r="S29" s="1106"/>
      <c r="T29" s="1106"/>
      <c r="U29" s="1106"/>
      <c r="V29" s="1106"/>
      <c r="W29" s="1106"/>
      <c r="X29" s="1106"/>
      <c r="Y29" s="1106"/>
      <c r="Z29" s="1106"/>
      <c r="AA29" s="1106"/>
      <c r="AB29" s="1106"/>
      <c r="AC29" s="1106"/>
      <c r="AD29" s="1106"/>
      <c r="AE29" s="1106"/>
      <c r="AF29" s="1106"/>
      <c r="AG29" s="1106"/>
      <c r="AH29" s="1106"/>
      <c r="AI29" s="1106"/>
      <c r="AJ29" s="1106"/>
      <c r="AK29" s="1106"/>
      <c r="AL29" s="1106"/>
      <c r="AM29" s="1106"/>
      <c r="AN29" s="1106"/>
      <c r="AO29" s="1106"/>
      <c r="AP29" s="1106"/>
      <c r="AQ29" s="1106"/>
      <c r="AR29" s="1106"/>
      <c r="AS29" s="1106"/>
      <c r="AT29" s="1106"/>
      <c r="AU29" s="1106"/>
      <c r="AV29" s="1106"/>
      <c r="AW29" s="1106"/>
      <c r="AX29" s="1106"/>
      <c r="AY29" s="1106"/>
      <c r="AZ29" s="1106"/>
      <c r="BA29" s="1106"/>
      <c r="BB29" s="1106"/>
      <c r="BC29" s="1106"/>
      <c r="BD29" s="1106"/>
      <c r="BE29" s="1106"/>
      <c r="BF29" s="1106"/>
      <c r="BG29" s="1106"/>
      <c r="BH29" s="1106"/>
      <c r="BI29" s="1106"/>
      <c r="BJ29" s="1106"/>
      <c r="BK29" s="1106"/>
      <c r="BL29" s="1106"/>
      <c r="BM29" s="1106"/>
      <c r="BN29" s="1106"/>
      <c r="BO29" s="1106"/>
      <c r="BP29" s="1106"/>
      <c r="BQ29" s="1106"/>
      <c r="BR29" s="1106"/>
      <c r="BS29" s="1106"/>
      <c r="BT29" s="1106"/>
      <c r="BU29" s="1106"/>
      <c r="BV29" s="1106"/>
      <c r="BW29" s="1106"/>
      <c r="BX29" s="1106"/>
      <c r="BY29" s="1106"/>
      <c r="BZ29" s="1106"/>
      <c r="CA29" s="1106"/>
      <c r="CB29" s="1106"/>
      <c r="CC29" s="1106"/>
      <c r="CD29" s="1106"/>
      <c r="CE29" s="1106"/>
      <c r="CF29" s="1106"/>
      <c r="CG29" s="1106"/>
      <c r="CH29" s="1106"/>
      <c r="CI29" s="1106"/>
      <c r="CJ29" s="1106"/>
      <c r="CK29" s="1106"/>
      <c r="CL29" s="1106"/>
      <c r="CM29" s="1106"/>
      <c r="CN29" s="1106"/>
      <c r="CO29" s="1106"/>
      <c r="CP29" s="1106"/>
      <c r="CQ29" s="1106"/>
      <c r="CR29" s="1106"/>
      <c r="CS29" s="1106"/>
      <c r="CT29" s="1106"/>
      <c r="CU29" s="1106"/>
      <c r="CV29" s="1106"/>
      <c r="CW29" s="1106"/>
      <c r="CX29" s="1106"/>
      <c r="CY29" s="1106"/>
      <c r="CZ29" s="1106"/>
      <c r="DA29" s="1106"/>
      <c r="DB29" s="1106"/>
      <c r="DC29" s="1106"/>
      <c r="DD29" s="1106"/>
      <c r="DE29" s="1106"/>
      <c r="DF29" s="1106"/>
      <c r="DG29" s="1106"/>
      <c r="DH29" s="1106"/>
      <c r="DI29" s="1106"/>
      <c r="DJ29" s="1106"/>
      <c r="DK29" s="1106"/>
      <c r="DL29" s="1106"/>
      <c r="DM29" s="1106"/>
      <c r="DN29" s="1106"/>
      <c r="DO29" s="1106"/>
      <c r="DP29" s="1106"/>
      <c r="DQ29" s="1106"/>
      <c r="DR29" s="1106"/>
      <c r="DS29" s="1106"/>
      <c r="DT29" s="1106"/>
      <c r="DU29" s="1106"/>
      <c r="DV29" s="1106"/>
      <c r="DW29" s="1106"/>
      <c r="DX29" s="1106"/>
      <c r="DY29" s="1106"/>
      <c r="DZ29" s="1106"/>
      <c r="EA29" s="1106"/>
      <c r="EB29" s="1106"/>
      <c r="EC29" s="1106"/>
      <c r="ED29" s="1106"/>
      <c r="EE29" s="1106"/>
      <c r="EF29" s="1106"/>
      <c r="EG29" s="1106"/>
      <c r="EH29" s="1106"/>
      <c r="EI29" s="1106"/>
      <c r="EJ29" s="1106"/>
      <c r="EK29" s="1106"/>
      <c r="EL29" s="1106"/>
      <c r="EM29" s="1106"/>
      <c r="EN29" s="1106"/>
      <c r="EO29" s="1106"/>
      <c r="EP29" s="1106"/>
      <c r="EQ29" s="1106"/>
      <c r="ER29" s="1106"/>
      <c r="ES29" s="1106"/>
      <c r="ET29" s="1106"/>
      <c r="EU29" s="1106"/>
      <c r="EV29" s="1106"/>
      <c r="EW29" s="1106"/>
      <c r="EX29" s="1106"/>
      <c r="EY29" s="1106"/>
      <c r="EZ29" s="1106"/>
      <c r="FA29" s="1106"/>
      <c r="FB29" s="1106"/>
      <c r="FC29" s="1106"/>
      <c r="FD29" s="1106"/>
      <c r="FE29" s="1106"/>
      <c r="FF29" s="1106"/>
      <c r="FG29" s="1106"/>
      <c r="FH29" s="1106"/>
      <c r="FI29" s="1106"/>
      <c r="FJ29" s="1106"/>
      <c r="FK29" s="1106"/>
      <c r="FL29" s="1106"/>
      <c r="FM29" s="1106"/>
      <c r="FN29" s="1106"/>
      <c r="FO29" s="1106"/>
      <c r="FP29" s="1106"/>
      <c r="FQ29" s="1106"/>
      <c r="FR29" s="1106"/>
      <c r="FS29" s="1106"/>
      <c r="FT29" s="1106"/>
      <c r="FU29" s="1106"/>
      <c r="FV29" s="1106"/>
      <c r="FW29" s="1106"/>
      <c r="FX29" s="1106"/>
      <c r="FY29" s="1106"/>
      <c r="FZ29" s="1106"/>
      <c r="GA29" s="1106"/>
      <c r="GB29" s="1106"/>
      <c r="GC29" s="1106"/>
      <c r="GD29" s="1106"/>
      <c r="GE29" s="1106"/>
      <c r="GF29" s="1106"/>
      <c r="GG29" s="1106"/>
      <c r="GH29" s="1106"/>
      <c r="GI29" s="1106"/>
      <c r="GJ29" s="1106"/>
      <c r="GK29" s="1106"/>
      <c r="GL29" s="1106"/>
      <c r="GM29" s="1106"/>
      <c r="GN29" s="1106"/>
      <c r="GO29" s="1106"/>
      <c r="GP29" s="1106"/>
      <c r="GQ29" s="1106"/>
      <c r="GR29" s="1106"/>
      <c r="GS29" s="1106"/>
      <c r="GT29" s="1106"/>
      <c r="GU29" s="1106"/>
      <c r="GV29" s="1106"/>
      <c r="GW29" s="1106"/>
      <c r="GX29" s="1106"/>
      <c r="GY29" s="1106"/>
      <c r="GZ29" s="1106"/>
      <c r="HA29" s="1106"/>
      <c r="HB29" s="1106"/>
      <c r="HC29" s="1106"/>
      <c r="HD29" s="1106"/>
      <c r="HE29" s="1106"/>
      <c r="HF29" s="1106"/>
      <c r="HG29" s="1106"/>
      <c r="HH29" s="1106"/>
    </row>
    <row r="30" spans="15:216" s="1105" customFormat="1" ht="12.75">
      <c r="O30" s="1106"/>
      <c r="P30" s="1106"/>
      <c r="Q30" s="1106"/>
      <c r="R30" s="1106"/>
      <c r="S30" s="1106"/>
      <c r="T30" s="1106"/>
      <c r="U30" s="1106"/>
      <c r="V30" s="1106"/>
      <c r="W30" s="1106"/>
      <c r="X30" s="1106"/>
      <c r="Y30" s="1106"/>
      <c r="Z30" s="1106"/>
      <c r="AA30" s="1106"/>
      <c r="AB30" s="1106"/>
      <c r="AC30" s="1106"/>
      <c r="AD30" s="1106"/>
      <c r="AE30" s="1106"/>
      <c r="AF30" s="1106"/>
      <c r="AG30" s="1106"/>
      <c r="AH30" s="1106"/>
      <c r="AI30" s="1106"/>
      <c r="AJ30" s="1106"/>
      <c r="AK30" s="1106"/>
      <c r="AL30" s="1106"/>
      <c r="AM30" s="1106"/>
      <c r="AN30" s="1106"/>
      <c r="AO30" s="1106"/>
      <c r="AP30" s="1106"/>
      <c r="AQ30" s="1106"/>
      <c r="AR30" s="1106"/>
      <c r="AS30" s="1106"/>
      <c r="AT30" s="1106"/>
      <c r="AU30" s="1106"/>
      <c r="AV30" s="1106"/>
      <c r="AW30" s="1106"/>
      <c r="AX30" s="1106"/>
      <c r="AY30" s="1106"/>
      <c r="AZ30" s="1106"/>
      <c r="BA30" s="1106"/>
      <c r="BB30" s="1106"/>
      <c r="BC30" s="1106"/>
      <c r="BD30" s="1106"/>
      <c r="BE30" s="1106"/>
      <c r="BF30" s="1106"/>
      <c r="BG30" s="1106"/>
      <c r="BH30" s="1106"/>
      <c r="BI30" s="1106"/>
      <c r="BJ30" s="1106"/>
      <c r="BK30" s="1106"/>
      <c r="BL30" s="1106"/>
      <c r="BM30" s="1106"/>
      <c r="BN30" s="1106"/>
      <c r="BO30" s="1106"/>
      <c r="BP30" s="1106"/>
      <c r="BQ30" s="1106"/>
      <c r="BR30" s="1106"/>
      <c r="BS30" s="1106"/>
      <c r="BT30" s="1106"/>
      <c r="BU30" s="1106"/>
      <c r="BV30" s="1106"/>
      <c r="BW30" s="1106"/>
      <c r="BX30" s="1106"/>
      <c r="BY30" s="1106"/>
      <c r="BZ30" s="1106"/>
      <c r="CA30" s="1106"/>
      <c r="CB30" s="1106"/>
      <c r="CC30" s="1106"/>
      <c r="CD30" s="1106"/>
      <c r="CE30" s="1106"/>
      <c r="CF30" s="1106"/>
      <c r="CG30" s="1106"/>
      <c r="CH30" s="1106"/>
      <c r="CI30" s="1106"/>
      <c r="CJ30" s="1106"/>
      <c r="CK30" s="1106"/>
      <c r="CL30" s="1106"/>
      <c r="CM30" s="1106"/>
      <c r="CN30" s="1106"/>
      <c r="CO30" s="1106"/>
      <c r="CP30" s="1106"/>
      <c r="CQ30" s="1106"/>
      <c r="CR30" s="1106"/>
      <c r="CS30" s="1106"/>
      <c r="CT30" s="1106"/>
      <c r="CU30" s="1106"/>
      <c r="CV30" s="1106"/>
      <c r="CW30" s="1106"/>
      <c r="CX30" s="1106"/>
      <c r="CY30" s="1106"/>
      <c r="CZ30" s="1106"/>
      <c r="DA30" s="1106"/>
      <c r="DB30" s="1106"/>
      <c r="DC30" s="1106"/>
      <c r="DD30" s="1106"/>
      <c r="DE30" s="1106"/>
      <c r="DF30" s="1106"/>
      <c r="DG30" s="1106"/>
      <c r="DH30" s="1106"/>
      <c r="DI30" s="1106"/>
      <c r="DJ30" s="1106"/>
      <c r="DK30" s="1106"/>
      <c r="DL30" s="1106"/>
      <c r="DM30" s="1106"/>
      <c r="DN30" s="1106"/>
      <c r="DO30" s="1106"/>
      <c r="DP30" s="1106"/>
      <c r="DQ30" s="1106"/>
      <c r="DR30" s="1106"/>
      <c r="DS30" s="1106"/>
      <c r="DT30" s="1106"/>
      <c r="DU30" s="1106"/>
      <c r="DV30" s="1106"/>
      <c r="DW30" s="1106"/>
      <c r="DX30" s="1106"/>
      <c r="DY30" s="1106"/>
      <c r="DZ30" s="1106"/>
      <c r="EA30" s="1106"/>
      <c r="EB30" s="1106"/>
      <c r="EC30" s="1106"/>
      <c r="ED30" s="1106"/>
      <c r="EE30" s="1106"/>
      <c r="EF30" s="1106"/>
      <c r="EG30" s="1106"/>
      <c r="EH30" s="1106"/>
      <c r="EI30" s="1106"/>
      <c r="EJ30" s="1106"/>
      <c r="EK30" s="1106"/>
      <c r="EL30" s="1106"/>
      <c r="EM30" s="1106"/>
      <c r="EN30" s="1106"/>
      <c r="EO30" s="1106"/>
      <c r="EP30" s="1106"/>
      <c r="EQ30" s="1106"/>
      <c r="ER30" s="1106"/>
      <c r="ES30" s="1106"/>
      <c r="ET30" s="1106"/>
      <c r="EU30" s="1106"/>
      <c r="EV30" s="1106"/>
      <c r="EW30" s="1106"/>
      <c r="EX30" s="1106"/>
      <c r="EY30" s="1106"/>
      <c r="EZ30" s="1106"/>
      <c r="FA30" s="1106"/>
      <c r="FB30" s="1106"/>
      <c r="FC30" s="1106"/>
      <c r="FD30" s="1106"/>
      <c r="FE30" s="1106"/>
      <c r="FF30" s="1106"/>
      <c r="FG30" s="1106"/>
      <c r="FH30" s="1106"/>
      <c r="FI30" s="1106"/>
      <c r="FJ30" s="1106"/>
      <c r="FK30" s="1106"/>
      <c r="FL30" s="1106"/>
      <c r="FM30" s="1106"/>
      <c r="FN30" s="1106"/>
      <c r="FO30" s="1106"/>
      <c r="FP30" s="1106"/>
      <c r="FQ30" s="1106"/>
      <c r="FR30" s="1106"/>
      <c r="FS30" s="1106"/>
      <c r="FT30" s="1106"/>
      <c r="FU30" s="1106"/>
      <c r="FV30" s="1106"/>
      <c r="FW30" s="1106"/>
      <c r="FX30" s="1106"/>
      <c r="FY30" s="1106"/>
      <c r="FZ30" s="1106"/>
      <c r="GA30" s="1106"/>
      <c r="GB30" s="1106"/>
      <c r="GC30" s="1106"/>
      <c r="GD30" s="1106"/>
      <c r="GE30" s="1106"/>
      <c r="GF30" s="1106"/>
      <c r="GG30" s="1106"/>
      <c r="GH30" s="1106"/>
      <c r="GI30" s="1106"/>
      <c r="GJ30" s="1106"/>
      <c r="GK30" s="1106"/>
      <c r="GL30" s="1106"/>
      <c r="GM30" s="1106"/>
      <c r="GN30" s="1106"/>
      <c r="GO30" s="1106"/>
      <c r="GP30" s="1106"/>
      <c r="GQ30" s="1106"/>
      <c r="GR30" s="1106"/>
      <c r="GS30" s="1106"/>
      <c r="GT30" s="1106"/>
      <c r="GU30" s="1106"/>
      <c r="GV30" s="1106"/>
      <c r="GW30" s="1106"/>
      <c r="GX30" s="1106"/>
      <c r="GY30" s="1106"/>
      <c r="GZ30" s="1106"/>
      <c r="HA30" s="1106"/>
      <c r="HB30" s="1106"/>
      <c r="HC30" s="1106"/>
      <c r="HD30" s="1106"/>
      <c r="HE30" s="1106"/>
      <c r="HF30" s="1106"/>
      <c r="HG30" s="1106"/>
      <c r="HH30" s="1106"/>
    </row>
  </sheetData>
  <mergeCells count="9">
    <mergeCell ref="A3:N3"/>
    <mergeCell ref="A5:N5"/>
    <mergeCell ref="A4:N4"/>
    <mergeCell ref="F8:H9"/>
    <mergeCell ref="L8:N9"/>
    <mergeCell ref="A8:A10"/>
    <mergeCell ref="B8:B10"/>
    <mergeCell ref="I8:K9"/>
    <mergeCell ref="C8:E9"/>
  </mergeCells>
  <printOptions/>
  <pageMargins left="0.27" right="0.19" top="0.93" bottom="1" header="0.5" footer="0.5"/>
  <pageSetup horizontalDpi="600" verticalDpi="600" orientation="landscape" paperSize="9" r:id="rId1"/>
  <headerFooter alignWithMargins="0">
    <oddHeader>&amp;R&amp;"Times New Roman,Normál" 16. számú melléklet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3:C29"/>
  <sheetViews>
    <sheetView workbookViewId="0" topLeftCell="A1">
      <selection activeCell="B31" sqref="B31"/>
    </sheetView>
  </sheetViews>
  <sheetFormatPr defaultColWidth="9.140625" defaultRowHeight="12.75"/>
  <cols>
    <col min="1" max="1" width="5.140625" style="1254" customWidth="1"/>
    <col min="2" max="2" width="71.00390625" style="1254" customWidth="1"/>
    <col min="3" max="16384" width="9.140625" style="1254" customWidth="1"/>
  </cols>
  <sheetData>
    <row r="3" spans="1:3" ht="15.75">
      <c r="A3" s="1423" t="s">
        <v>237</v>
      </c>
      <c r="B3" s="1423"/>
      <c r="C3" s="1423"/>
    </row>
    <row r="4" spans="1:3" ht="15.75">
      <c r="A4" s="1423" t="s">
        <v>935</v>
      </c>
      <c r="B4" s="1423"/>
      <c r="C4" s="1423"/>
    </row>
    <row r="5" ht="15.75">
      <c r="B5" s="1255"/>
    </row>
    <row r="6" s="1252" customFormat="1" ht="12.75"/>
    <row r="7" s="1252" customFormat="1" ht="12.75">
      <c r="C7" s="1256" t="s">
        <v>128</v>
      </c>
    </row>
    <row r="8" spans="1:3" s="1252" customFormat="1" ht="30" customHeight="1">
      <c r="A8" s="1294" t="s">
        <v>169</v>
      </c>
      <c r="B8" s="1293" t="s">
        <v>129</v>
      </c>
      <c r="C8" s="1294" t="s">
        <v>39</v>
      </c>
    </row>
    <row r="9" spans="1:3" s="1252" customFormat="1" ht="24.75" customHeight="1">
      <c r="A9" s="1257" t="s">
        <v>524</v>
      </c>
      <c r="B9" s="1258" t="s">
        <v>40</v>
      </c>
      <c r="C9" s="1259">
        <v>0</v>
      </c>
    </row>
    <row r="10" spans="1:3" s="1252" customFormat="1" ht="24.75" customHeight="1">
      <c r="A10" s="1257" t="s">
        <v>525</v>
      </c>
      <c r="B10" s="1258" t="s">
        <v>41</v>
      </c>
      <c r="C10" s="1259">
        <v>0</v>
      </c>
    </row>
    <row r="11" spans="1:3" s="1252" customFormat="1" ht="24.75" customHeight="1">
      <c r="A11" s="1257" t="s">
        <v>526</v>
      </c>
      <c r="B11" s="1258" t="s">
        <v>42</v>
      </c>
      <c r="C11" s="1259">
        <v>780</v>
      </c>
    </row>
    <row r="12" spans="1:3" s="1252" customFormat="1" ht="24.75" customHeight="1">
      <c r="A12" s="1257" t="s">
        <v>729</v>
      </c>
      <c r="B12" s="1258" t="s">
        <v>43</v>
      </c>
      <c r="C12" s="1259">
        <v>40000</v>
      </c>
    </row>
    <row r="13" spans="1:3" s="1252" customFormat="1" ht="24.75" customHeight="1">
      <c r="A13" s="1257" t="s">
        <v>730</v>
      </c>
      <c r="B13" s="1258" t="s">
        <v>44</v>
      </c>
      <c r="C13" s="1259">
        <v>143546</v>
      </c>
    </row>
    <row r="14" spans="1:3" s="1252" customFormat="1" ht="24.75" customHeight="1">
      <c r="A14" s="1257" t="s">
        <v>731</v>
      </c>
      <c r="B14" s="1258" t="s">
        <v>45</v>
      </c>
      <c r="C14" s="1259">
        <v>0</v>
      </c>
    </row>
    <row r="15" spans="1:3" s="1253" customFormat="1" ht="24.75" customHeight="1">
      <c r="A15" s="1260" t="s">
        <v>732</v>
      </c>
      <c r="B15" s="1261" t="s">
        <v>234</v>
      </c>
      <c r="C15" s="1262">
        <f>SUM(C9:C14)</f>
        <v>184326</v>
      </c>
    </row>
    <row r="16" s="1252" customFormat="1" ht="12.75"/>
    <row r="17" spans="1:3" s="1252" customFormat="1" ht="15.75">
      <c r="A17" s="1263" t="s">
        <v>100</v>
      </c>
      <c r="C17" s="1254"/>
    </row>
    <row r="18" spans="1:3" s="1252" customFormat="1" ht="15.75">
      <c r="A18" s="1254"/>
      <c r="B18" s="1263"/>
      <c r="C18" s="1254"/>
    </row>
    <row r="19" spans="1:3" s="1252" customFormat="1" ht="13.5" customHeight="1">
      <c r="A19" s="1264" t="s">
        <v>101</v>
      </c>
      <c r="B19" s="1428" t="s">
        <v>914</v>
      </c>
      <c r="C19" s="1429"/>
    </row>
    <row r="20" spans="1:3" s="1252" customFormat="1" ht="49.5" customHeight="1">
      <c r="A20" s="1254"/>
      <c r="B20" s="1426" t="s">
        <v>499</v>
      </c>
      <c r="C20" s="1427"/>
    </row>
    <row r="21" ht="13.5" customHeight="1">
      <c r="B21" s="1266"/>
    </row>
    <row r="22" ht="13.5" customHeight="1">
      <c r="B22" s="1267" t="s">
        <v>915</v>
      </c>
    </row>
    <row r="23" ht="13.5" customHeight="1">
      <c r="B23" s="1263"/>
    </row>
    <row r="24" spans="1:3" ht="19.5" customHeight="1">
      <c r="A24" s="1264" t="s">
        <v>102</v>
      </c>
      <c r="B24" s="1424" t="s">
        <v>916</v>
      </c>
      <c r="C24" s="1425"/>
    </row>
    <row r="25" spans="2:3" ht="19.5" customHeight="1">
      <c r="B25" s="1424"/>
      <c r="C25" s="1425"/>
    </row>
    <row r="26" spans="2:3" ht="19.5" customHeight="1">
      <c r="B26" s="1424"/>
      <c r="C26" s="1425"/>
    </row>
    <row r="27" ht="19.5" customHeight="1">
      <c r="B27" s="1265"/>
    </row>
    <row r="28" spans="1:3" ht="13.5" customHeight="1">
      <c r="A28" s="1264" t="s">
        <v>103</v>
      </c>
      <c r="B28" s="1424" t="s">
        <v>917</v>
      </c>
      <c r="C28" s="1425"/>
    </row>
    <row r="29" spans="2:3" ht="13.5" customHeight="1">
      <c r="B29" s="1425"/>
      <c r="C29" s="1425"/>
    </row>
    <row r="30" ht="13.5" customHeight="1"/>
    <row r="31" ht="13.5" customHeight="1"/>
  </sheetData>
  <mergeCells count="6">
    <mergeCell ref="A3:C3"/>
    <mergeCell ref="A4:C4"/>
    <mergeCell ref="B28:C29"/>
    <mergeCell ref="B20:C20"/>
    <mergeCell ref="B19:C19"/>
    <mergeCell ref="B24:C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&amp;C&amp;12
&amp;R&amp;"Times New Roman,Normál"17.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42">
      <selection activeCell="B65" sqref="B65"/>
    </sheetView>
  </sheetViews>
  <sheetFormatPr defaultColWidth="9.140625" defaultRowHeight="12.75"/>
  <cols>
    <col min="1" max="1" width="4.28125" style="1093" customWidth="1"/>
    <col min="2" max="2" width="5.00390625" style="1093" customWidth="1"/>
    <col min="3" max="3" width="60.00390625" style="1093" customWidth="1"/>
    <col min="4" max="4" width="9.140625" style="1143" customWidth="1"/>
    <col min="5" max="16384" width="9.140625" style="360" customWidth="1"/>
  </cols>
  <sheetData>
    <row r="1" spans="1:8" ht="15" customHeight="1">
      <c r="A1" s="1357" t="s">
        <v>426</v>
      </c>
      <c r="B1" s="1357"/>
      <c r="C1" s="1357"/>
      <c r="D1" s="1357"/>
      <c r="E1" s="1236"/>
      <c r="F1" s="1236"/>
      <c r="G1" s="1236"/>
      <c r="H1" s="1236"/>
    </row>
    <row r="2" spans="1:4" ht="15" customHeight="1">
      <c r="A2" s="1364" t="s">
        <v>73</v>
      </c>
      <c r="B2" s="1364"/>
      <c r="C2" s="1364"/>
      <c r="D2" s="1364"/>
    </row>
    <row r="3" ht="12.75">
      <c r="D3" s="386" t="s">
        <v>128</v>
      </c>
    </row>
    <row r="4" spans="1:4" s="381" customFormat="1" ht="39.75" customHeight="1">
      <c r="A4" s="656" t="s">
        <v>169</v>
      </c>
      <c r="B4" s="108" t="s">
        <v>129</v>
      </c>
      <c r="C4" s="109"/>
      <c r="D4" s="657" t="s">
        <v>249</v>
      </c>
    </row>
    <row r="5" spans="1:4" ht="9.75" customHeight="1">
      <c r="A5" s="887" t="s">
        <v>524</v>
      </c>
      <c r="B5" s="109" t="s">
        <v>525</v>
      </c>
      <c r="C5" s="109"/>
      <c r="D5" s="388"/>
    </row>
    <row r="6" spans="1:4" s="187" customFormat="1" ht="12.75" customHeight="1">
      <c r="A6" s="55" t="s">
        <v>417</v>
      </c>
      <c r="B6" s="1350" t="s">
        <v>754</v>
      </c>
      <c r="C6" s="1351"/>
      <c r="D6" s="1144"/>
    </row>
    <row r="7" spans="1:4" s="381" customFormat="1" ht="12.75" customHeight="1">
      <c r="A7" s="56" t="s">
        <v>524</v>
      </c>
      <c r="B7" s="1365" t="s">
        <v>189</v>
      </c>
      <c r="C7" s="1349"/>
      <c r="D7" s="388">
        <v>50000</v>
      </c>
    </row>
    <row r="8" spans="1:4" s="381" customFormat="1" ht="12.75" customHeight="1">
      <c r="A8" s="56" t="s">
        <v>525</v>
      </c>
      <c r="B8" s="1365" t="s">
        <v>813</v>
      </c>
      <c r="C8" s="1349"/>
      <c r="D8" s="388">
        <v>4968</v>
      </c>
    </row>
    <row r="9" spans="1:4" s="381" customFormat="1" ht="26.25" customHeight="1">
      <c r="A9" s="56" t="s">
        <v>526</v>
      </c>
      <c r="B9" s="1365" t="s">
        <v>74</v>
      </c>
      <c r="C9" s="1349"/>
      <c r="D9" s="388">
        <v>372</v>
      </c>
    </row>
    <row r="10" spans="1:4" ht="12.75">
      <c r="A10" s="56" t="s">
        <v>729</v>
      </c>
      <c r="B10" s="281" t="s">
        <v>765</v>
      </c>
      <c r="C10" s="139"/>
      <c r="D10" s="388">
        <v>4000</v>
      </c>
    </row>
    <row r="11" spans="1:4" ht="12.75">
      <c r="A11" s="56" t="s">
        <v>730</v>
      </c>
      <c r="B11" s="478" t="s">
        <v>190</v>
      </c>
      <c r="C11" s="478"/>
      <c r="D11" s="388">
        <v>3500</v>
      </c>
    </row>
    <row r="12" spans="1:4" ht="12.75">
      <c r="A12" s="56" t="s">
        <v>731</v>
      </c>
      <c r="B12" s="281" t="s">
        <v>415</v>
      </c>
      <c r="C12" s="139"/>
      <c r="D12" s="388">
        <v>5500</v>
      </c>
    </row>
    <row r="13" spans="1:4" ht="12.75">
      <c r="A13" s="56" t="s">
        <v>732</v>
      </c>
      <c r="B13" s="478" t="s">
        <v>554</v>
      </c>
      <c r="C13" s="139"/>
      <c r="D13" s="380">
        <f>SUM(D14:D16)</f>
        <v>12000</v>
      </c>
    </row>
    <row r="14" spans="1:4" ht="12.75">
      <c r="A14" s="56"/>
      <c r="B14" s="478"/>
      <c r="C14" s="139" t="s">
        <v>131</v>
      </c>
      <c r="D14" s="388">
        <v>8000</v>
      </c>
    </row>
    <row r="15" spans="1:4" ht="12.75">
      <c r="A15" s="56"/>
      <c r="B15" s="478"/>
      <c r="C15" s="139" t="s">
        <v>544</v>
      </c>
      <c r="D15" s="388">
        <v>2560</v>
      </c>
    </row>
    <row r="16" spans="1:4" ht="12.75">
      <c r="A16" s="56"/>
      <c r="B16" s="478"/>
      <c r="C16" s="139" t="s">
        <v>936</v>
      </c>
      <c r="D16" s="388">
        <v>1440</v>
      </c>
    </row>
    <row r="17" spans="1:4" ht="12.75">
      <c r="A17" s="56" t="s">
        <v>733</v>
      </c>
      <c r="B17" s="281" t="s">
        <v>393</v>
      </c>
      <c r="C17" s="1145"/>
      <c r="D17" s="388">
        <v>44953</v>
      </c>
    </row>
    <row r="18" spans="1:4" ht="12.75">
      <c r="A18" s="56" t="s">
        <v>734</v>
      </c>
      <c r="B18" s="281" t="s">
        <v>707</v>
      </c>
      <c r="C18" s="1145"/>
      <c r="D18" s="388">
        <v>39348</v>
      </c>
    </row>
    <row r="19" spans="1:4" ht="12.75">
      <c r="A19" s="56" t="s">
        <v>735</v>
      </c>
      <c r="B19" s="478" t="s">
        <v>605</v>
      </c>
      <c r="C19" s="1145"/>
      <c r="D19" s="130">
        <f>SUM(D20:D22)</f>
        <v>13064</v>
      </c>
    </row>
    <row r="20" spans="1:4" ht="25.5">
      <c r="A20" s="56"/>
      <c r="B20" s="478" t="s">
        <v>766</v>
      </c>
      <c r="C20" s="479" t="s">
        <v>191</v>
      </c>
      <c r="D20" s="388">
        <v>11739</v>
      </c>
    </row>
    <row r="21" spans="1:4" ht="12.75">
      <c r="A21" s="56"/>
      <c r="B21" s="1145"/>
      <c r="C21" s="1145" t="s">
        <v>697</v>
      </c>
      <c r="D21" s="388">
        <v>611</v>
      </c>
    </row>
    <row r="22" spans="1:4" ht="12.75">
      <c r="A22" s="56"/>
      <c r="B22" s="478" t="s">
        <v>767</v>
      </c>
      <c r="C22" s="1145" t="s">
        <v>740</v>
      </c>
      <c r="D22" s="388">
        <v>714</v>
      </c>
    </row>
    <row r="23" spans="1:4" ht="12.75">
      <c r="A23" s="56" t="s">
        <v>736</v>
      </c>
      <c r="B23" s="478" t="s">
        <v>394</v>
      </c>
      <c r="C23" s="1145"/>
      <c r="D23" s="388">
        <v>4092</v>
      </c>
    </row>
    <row r="24" spans="1:4" ht="12.75">
      <c r="A24" s="56" t="s">
        <v>737</v>
      </c>
      <c r="B24" s="478" t="s">
        <v>708</v>
      </c>
      <c r="C24" s="1145"/>
      <c r="D24" s="388">
        <v>4512</v>
      </c>
    </row>
    <row r="25" spans="1:4" ht="12.75">
      <c r="A25" s="56" t="s">
        <v>738</v>
      </c>
      <c r="B25" s="478" t="s">
        <v>637</v>
      </c>
      <c r="C25" s="1145"/>
      <c r="D25" s="388">
        <v>19500</v>
      </c>
    </row>
    <row r="26" spans="1:4" ht="12.75">
      <c r="A26" s="56" t="s">
        <v>811</v>
      </c>
      <c r="B26" s="478" t="s">
        <v>75</v>
      </c>
      <c r="C26" s="1145"/>
      <c r="D26" s="388">
        <v>6332</v>
      </c>
    </row>
    <row r="27" spans="1:4" ht="12.75">
      <c r="A27" s="56" t="s">
        <v>812</v>
      </c>
      <c r="B27" s="478" t="s">
        <v>321</v>
      </c>
      <c r="C27" s="1145"/>
      <c r="D27" s="388">
        <v>12664</v>
      </c>
    </row>
    <row r="28" spans="1:4" ht="12.75">
      <c r="A28" s="56" t="s">
        <v>325</v>
      </c>
      <c r="B28" s="478" t="s">
        <v>638</v>
      </c>
      <c r="C28" s="1145"/>
      <c r="D28" s="388">
        <v>2800</v>
      </c>
    </row>
    <row r="29" spans="1:4" ht="12.75">
      <c r="A29" s="56" t="s">
        <v>329</v>
      </c>
      <c r="B29" s="478" t="s">
        <v>320</v>
      </c>
      <c r="C29" s="478"/>
      <c r="D29" s="380">
        <f>SUM(D30:D31)</f>
        <v>16080</v>
      </c>
    </row>
    <row r="30" spans="1:4" ht="12.75">
      <c r="A30" s="56"/>
      <c r="B30" s="478"/>
      <c r="C30" s="1145" t="s">
        <v>131</v>
      </c>
      <c r="D30" s="388">
        <v>12182</v>
      </c>
    </row>
    <row r="31" spans="1:4" ht="12.75">
      <c r="A31" s="56"/>
      <c r="B31" s="478"/>
      <c r="C31" s="139" t="s">
        <v>544</v>
      </c>
      <c r="D31" s="388">
        <v>3898</v>
      </c>
    </row>
    <row r="32" spans="1:4" ht="12.75">
      <c r="A32" s="56" t="s">
        <v>331</v>
      </c>
      <c r="B32" s="478" t="s">
        <v>907</v>
      </c>
      <c r="C32" s="478"/>
      <c r="D32" s="388">
        <v>18000</v>
      </c>
    </row>
    <row r="33" spans="1:4" ht="12.75">
      <c r="A33" s="56" t="s">
        <v>332</v>
      </c>
      <c r="B33" s="478" t="s">
        <v>46</v>
      </c>
      <c r="C33" s="478"/>
      <c r="D33" s="1146">
        <f>SUM(D34:D35)</f>
        <v>11250</v>
      </c>
    </row>
    <row r="34" spans="1:4" ht="12.75">
      <c r="A34" s="56"/>
      <c r="B34" s="478"/>
      <c r="C34" s="1145" t="s">
        <v>131</v>
      </c>
      <c r="D34" s="388">
        <v>8523</v>
      </c>
    </row>
    <row r="35" spans="1:4" ht="12.75">
      <c r="A35" s="56"/>
      <c r="B35" s="478"/>
      <c r="C35" s="139" t="s">
        <v>544</v>
      </c>
      <c r="D35" s="388">
        <v>2727</v>
      </c>
    </row>
    <row r="36" spans="1:4" ht="12.75">
      <c r="A36" s="56" t="s">
        <v>334</v>
      </c>
      <c r="B36" s="478" t="s">
        <v>47</v>
      </c>
      <c r="C36" s="139"/>
      <c r="D36" s="388">
        <v>5000</v>
      </c>
    </row>
    <row r="37" spans="1:4" ht="12.75">
      <c r="A37" s="56" t="s">
        <v>335</v>
      </c>
      <c r="B37" s="1147" t="s">
        <v>686</v>
      </c>
      <c r="C37" s="1148"/>
      <c r="D37" s="1146">
        <f>SUM(D38:D39)</f>
        <v>3750</v>
      </c>
    </row>
    <row r="38" spans="1:4" ht="12.75">
      <c r="A38" s="56"/>
      <c r="B38" s="478"/>
      <c r="C38" s="1145" t="s">
        <v>131</v>
      </c>
      <c r="D38" s="388">
        <v>2841</v>
      </c>
    </row>
    <row r="39" spans="1:4" ht="12.75">
      <c r="A39" s="56"/>
      <c r="B39" s="478"/>
      <c r="C39" s="139" t="s">
        <v>544</v>
      </c>
      <c r="D39" s="388">
        <v>909</v>
      </c>
    </row>
    <row r="40" spans="1:4" ht="12.75">
      <c r="A40" s="56" t="s">
        <v>336</v>
      </c>
      <c r="B40" s="478" t="s">
        <v>323</v>
      </c>
      <c r="C40" s="478"/>
      <c r="D40" s="380">
        <f>SUM(D41:D42)</f>
        <v>4020</v>
      </c>
    </row>
    <row r="41" spans="1:4" ht="12.75">
      <c r="A41" s="56"/>
      <c r="B41" s="478"/>
      <c r="C41" s="1145" t="s">
        <v>131</v>
      </c>
      <c r="D41" s="388">
        <v>3046</v>
      </c>
    </row>
    <row r="42" spans="1:4" ht="12.75">
      <c r="A42" s="56"/>
      <c r="B42" s="478"/>
      <c r="C42" s="139" t="s">
        <v>544</v>
      </c>
      <c r="D42" s="388">
        <v>974</v>
      </c>
    </row>
    <row r="43" spans="1:4" ht="12.75">
      <c r="A43" s="56" t="s">
        <v>339</v>
      </c>
      <c r="B43" s="478" t="s">
        <v>670</v>
      </c>
      <c r="C43" s="139"/>
      <c r="D43" s="1241">
        <v>2000</v>
      </c>
    </row>
    <row r="44" spans="1:4" ht="12.75">
      <c r="A44" s="56" t="s">
        <v>599</v>
      </c>
      <c r="B44" s="478" t="s">
        <v>890</v>
      </c>
      <c r="C44" s="139"/>
      <c r="D44" s="388">
        <v>1905</v>
      </c>
    </row>
    <row r="45" spans="1:4" ht="12.75">
      <c r="A45" s="56" t="s">
        <v>600</v>
      </c>
      <c r="B45" s="478" t="s">
        <v>891</v>
      </c>
      <c r="C45" s="139"/>
      <c r="D45" s="388">
        <v>3000</v>
      </c>
    </row>
    <row r="46" spans="1:4" ht="12.75">
      <c r="A46" s="56" t="s">
        <v>602</v>
      </c>
      <c r="B46" s="478" t="s">
        <v>671</v>
      </c>
      <c r="C46" s="139"/>
      <c r="D46" s="388">
        <v>3539</v>
      </c>
    </row>
    <row r="47" spans="1:4" ht="12.75">
      <c r="A47" s="56" t="s">
        <v>604</v>
      </c>
      <c r="B47" s="1149" t="s">
        <v>48</v>
      </c>
      <c r="C47" s="1149"/>
      <c r="D47" s="388">
        <f>SUM(D48,D51,D55)</f>
        <v>83276</v>
      </c>
    </row>
    <row r="48" spans="1:4" ht="25.5" customHeight="1">
      <c r="A48" s="56"/>
      <c r="B48" s="1147" t="s">
        <v>766</v>
      </c>
      <c r="C48" s="1101" t="s">
        <v>87</v>
      </c>
      <c r="D48" s="388">
        <f>SUM(D49:D50)</f>
        <v>63484</v>
      </c>
    </row>
    <row r="49" spans="1:4" ht="12.75">
      <c r="A49" s="56"/>
      <c r="B49" s="1150"/>
      <c r="C49" s="1151" t="s">
        <v>131</v>
      </c>
      <c r="D49" s="388">
        <v>48094</v>
      </c>
    </row>
    <row r="50" spans="1:4" ht="12.75">
      <c r="A50" s="56"/>
      <c r="B50" s="1149"/>
      <c r="C50" s="1102" t="s">
        <v>544</v>
      </c>
      <c r="D50" s="388">
        <v>15390</v>
      </c>
    </row>
    <row r="51" spans="1:4" ht="12.75">
      <c r="A51" s="674"/>
      <c r="B51" s="1147" t="s">
        <v>767</v>
      </c>
      <c r="C51" s="1101" t="s">
        <v>88</v>
      </c>
      <c r="D51" s="388">
        <f>SUM(D52:D53)</f>
        <v>16792</v>
      </c>
    </row>
    <row r="52" spans="1:4" ht="12.75">
      <c r="A52" s="56"/>
      <c r="B52" s="1150"/>
      <c r="C52" s="1151" t="s">
        <v>131</v>
      </c>
      <c r="D52" s="388">
        <v>12721</v>
      </c>
    </row>
    <row r="53" spans="1:4" ht="12.75">
      <c r="A53" s="56"/>
      <c r="B53" s="1147"/>
      <c r="C53" s="1104" t="s">
        <v>544</v>
      </c>
      <c r="D53" s="388">
        <v>4071</v>
      </c>
    </row>
    <row r="54" spans="1:4" ht="12.75">
      <c r="A54" s="1242"/>
      <c r="B54" s="1243"/>
      <c r="C54" s="1103"/>
      <c r="D54" s="1244"/>
    </row>
    <row r="55" spans="1:4" ht="12.75">
      <c r="A55" s="56"/>
      <c r="B55" s="1147" t="s">
        <v>227</v>
      </c>
      <c r="C55" s="698" t="s">
        <v>507</v>
      </c>
      <c r="D55" s="388">
        <f>SUM(D56:D57)</f>
        <v>3000</v>
      </c>
    </row>
    <row r="56" spans="1:4" ht="12.75">
      <c r="A56" s="56"/>
      <c r="B56" s="478"/>
      <c r="C56" s="1151" t="s">
        <v>131</v>
      </c>
      <c r="D56" s="388">
        <v>2307</v>
      </c>
    </row>
    <row r="57" spans="1:4" ht="12.75">
      <c r="A57" s="56"/>
      <c r="B57" s="478"/>
      <c r="C57" s="1102" t="s">
        <v>544</v>
      </c>
      <c r="D57" s="388">
        <v>693</v>
      </c>
    </row>
    <row r="58" spans="1:4" ht="27" customHeight="1">
      <c r="A58" s="56" t="s">
        <v>119</v>
      </c>
      <c r="B58" s="1365" t="s">
        <v>72</v>
      </c>
      <c r="C58" s="1349"/>
      <c r="D58" s="388">
        <v>64555</v>
      </c>
    </row>
    <row r="59" spans="1:4" s="187" customFormat="1" ht="12.75">
      <c r="A59" s="55"/>
      <c r="B59" s="1152" t="s">
        <v>693</v>
      </c>
      <c r="C59" s="1153"/>
      <c r="D59" s="1154">
        <f>SUM(D7:D13,D17:D19,D23:D29,D32:D33,D36:D37,D40,D43:D47,D58)</f>
        <v>443980</v>
      </c>
    </row>
    <row r="60" spans="1:4" ht="12.75">
      <c r="A60" s="55" t="s">
        <v>454</v>
      </c>
      <c r="B60" s="1152" t="s">
        <v>416</v>
      </c>
      <c r="C60" s="1148"/>
      <c r="D60" s="388"/>
    </row>
    <row r="61" spans="1:4" ht="12.75">
      <c r="A61" s="1155" t="s">
        <v>524</v>
      </c>
      <c r="B61" s="1149" t="s">
        <v>899</v>
      </c>
      <c r="C61" s="1156"/>
      <c r="D61" s="388">
        <v>10000</v>
      </c>
    </row>
    <row r="62" spans="1:4" ht="12.75">
      <c r="A62" s="471" t="s">
        <v>525</v>
      </c>
      <c r="B62" s="1149" t="s">
        <v>455</v>
      </c>
      <c r="C62" s="1156"/>
      <c r="D62" s="388">
        <v>52000</v>
      </c>
    </row>
    <row r="63" spans="1:4" s="187" customFormat="1" ht="12.75">
      <c r="A63" s="55"/>
      <c r="B63" s="1152" t="s">
        <v>724</v>
      </c>
      <c r="C63" s="1157"/>
      <c r="D63" s="1158">
        <f>SUM(D61:D62)</f>
        <v>62000</v>
      </c>
    </row>
    <row r="64" spans="1:4" s="187" customFormat="1" ht="12.75">
      <c r="A64" s="55" t="s">
        <v>338</v>
      </c>
      <c r="B64" s="1152" t="s">
        <v>750</v>
      </c>
      <c r="C64" s="1157"/>
      <c r="D64" s="1144">
        <v>2123250</v>
      </c>
    </row>
    <row r="65" spans="1:4" s="187" customFormat="1" ht="12.75">
      <c r="A65" s="55"/>
      <c r="B65" s="1152" t="s">
        <v>699</v>
      </c>
      <c r="C65" s="1159"/>
      <c r="D65" s="371">
        <f>SUM(D59,D63,D64)</f>
        <v>2629230</v>
      </c>
    </row>
  </sheetData>
  <mergeCells count="7">
    <mergeCell ref="A1:D1"/>
    <mergeCell ref="A2:D2"/>
    <mergeCell ref="B58:C58"/>
    <mergeCell ref="B6:C6"/>
    <mergeCell ref="B7:C7"/>
    <mergeCell ref="B8:C8"/>
    <mergeCell ref="B9:C9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CE,Normál"2/a. számú melléklet
</oddHeader>
    <oddFooter>&amp;L&amp;"Times New Roman CE,Normál"&amp;8&amp;F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55"/>
  <sheetViews>
    <sheetView workbookViewId="0" topLeftCell="A13">
      <selection activeCell="C22" sqref="C22"/>
    </sheetView>
  </sheetViews>
  <sheetFormatPr defaultColWidth="9.140625" defaultRowHeight="12.75"/>
  <cols>
    <col min="1" max="1" width="5.140625" style="27" customWidth="1"/>
    <col min="2" max="2" width="34.8515625" style="27" customWidth="1"/>
    <col min="3" max="3" width="43.8515625" style="27" customWidth="1"/>
    <col min="4" max="4" width="12.140625" style="523" customWidth="1"/>
    <col min="5" max="16384" width="9.140625" style="51" customWidth="1"/>
  </cols>
  <sheetData>
    <row r="2" spans="1:4" ht="15" customHeight="1">
      <c r="A2" s="1357" t="s">
        <v>426</v>
      </c>
      <c r="B2" s="1357"/>
      <c r="C2" s="1357"/>
      <c r="D2" s="1357"/>
    </row>
    <row r="3" spans="1:4" ht="15" customHeight="1">
      <c r="A3" s="1357" t="s">
        <v>76</v>
      </c>
      <c r="B3" s="1357"/>
      <c r="C3" s="1357"/>
      <c r="D3" s="1357"/>
    </row>
    <row r="4" spans="1:4" ht="15" customHeight="1">
      <c r="A4" s="659"/>
      <c r="B4" s="659"/>
      <c r="C4" s="659"/>
      <c r="D4" s="690"/>
    </row>
    <row r="5" spans="1:4" ht="15" customHeight="1">
      <c r="A5" s="659"/>
      <c r="B5" s="659"/>
      <c r="C5" s="659"/>
      <c r="D5" s="690"/>
    </row>
    <row r="6" ht="12.75">
      <c r="D6" s="386" t="s">
        <v>128</v>
      </c>
    </row>
    <row r="7" spans="1:4" s="658" customFormat="1" ht="39.75" customHeight="1">
      <c r="A7" s="656" t="s">
        <v>169</v>
      </c>
      <c r="B7" s="653" t="s">
        <v>306</v>
      </c>
      <c r="C7" s="654" t="s">
        <v>212</v>
      </c>
      <c r="D7" s="657" t="s">
        <v>253</v>
      </c>
    </row>
    <row r="8" spans="1:4" ht="9.75" customHeight="1">
      <c r="A8" s="31" t="s">
        <v>524</v>
      </c>
      <c r="B8" s="179" t="s">
        <v>525</v>
      </c>
      <c r="C8" s="663" t="s">
        <v>526</v>
      </c>
      <c r="D8" s="694" t="s">
        <v>729</v>
      </c>
    </row>
    <row r="9" spans="1:4" s="1" customFormat="1" ht="12.75" customHeight="1">
      <c r="A9" s="45" t="s">
        <v>417</v>
      </c>
      <c r="B9" s="1339" t="s">
        <v>195</v>
      </c>
      <c r="C9" s="1340"/>
      <c r="D9" s="511">
        <f>SUM(D17,D39)</f>
        <v>455479</v>
      </c>
    </row>
    <row r="10" spans="1:4" s="1" customFormat="1" ht="12.75" customHeight="1">
      <c r="A10" s="45"/>
      <c r="B10" s="695"/>
      <c r="C10" s="696"/>
      <c r="D10" s="391"/>
    </row>
    <row r="11" spans="1:4" s="1" customFormat="1" ht="12.75" customHeight="1">
      <c r="A11" s="45"/>
      <c r="B11" s="695" t="s">
        <v>405</v>
      </c>
      <c r="C11" s="696"/>
      <c r="D11" s="391"/>
    </row>
    <row r="12" spans="1:4" ht="12.75">
      <c r="A12" s="45"/>
      <c r="B12" s="671" t="s">
        <v>764</v>
      </c>
      <c r="C12" s="670"/>
      <c r="D12" s="391"/>
    </row>
    <row r="13" spans="1:4" ht="12.75">
      <c r="A13" s="42" t="s">
        <v>524</v>
      </c>
      <c r="B13" s="672" t="s">
        <v>369</v>
      </c>
      <c r="C13" s="672" t="s">
        <v>370</v>
      </c>
      <c r="D13" s="391">
        <v>8920</v>
      </c>
    </row>
    <row r="14" spans="1:4" ht="12.75">
      <c r="A14" s="42" t="s">
        <v>525</v>
      </c>
      <c r="B14" s="672" t="s">
        <v>372</v>
      </c>
      <c r="C14" s="672" t="s">
        <v>373</v>
      </c>
      <c r="D14" s="391">
        <v>50000</v>
      </c>
    </row>
    <row r="15" spans="1:4" ht="12.75">
      <c r="A15" s="42" t="s">
        <v>526</v>
      </c>
      <c r="B15" s="672" t="s">
        <v>78</v>
      </c>
      <c r="C15" s="672" t="s">
        <v>79</v>
      </c>
      <c r="D15" s="391">
        <v>48000</v>
      </c>
    </row>
    <row r="16" spans="1:4" s="1" customFormat="1" ht="12.75">
      <c r="A16" s="45"/>
      <c r="B16" s="671" t="s">
        <v>908</v>
      </c>
      <c r="C16" s="671"/>
      <c r="D16" s="511">
        <f>SUM(D13:D15)</f>
        <v>106920</v>
      </c>
    </row>
    <row r="17" spans="1:4" s="187" customFormat="1" ht="12.75" customHeight="1">
      <c r="A17" s="55"/>
      <c r="B17" s="1353" t="s">
        <v>591</v>
      </c>
      <c r="C17" s="1354"/>
      <c r="D17" s="442">
        <f>SUM(D16)</f>
        <v>106920</v>
      </c>
    </row>
    <row r="18" spans="1:4" s="1" customFormat="1" ht="12.75">
      <c r="A18" s="677"/>
      <c r="B18" s="699"/>
      <c r="C18" s="697"/>
      <c r="D18" s="391"/>
    </row>
    <row r="19" spans="1:4" s="1" customFormat="1" ht="12.75" customHeight="1">
      <c r="A19" s="45"/>
      <c r="B19" s="1353" t="s">
        <v>406</v>
      </c>
      <c r="C19" s="1354"/>
      <c r="D19" s="391"/>
    </row>
    <row r="20" spans="1:4" s="1" customFormat="1" ht="12.75">
      <c r="A20" s="45"/>
      <c r="B20" s="671" t="s">
        <v>764</v>
      </c>
      <c r="C20" s="671"/>
      <c r="D20" s="391"/>
    </row>
    <row r="21" spans="1:4" ht="12.75">
      <c r="A21" s="42" t="s">
        <v>729</v>
      </c>
      <c r="B21" s="672" t="s">
        <v>358</v>
      </c>
      <c r="C21" s="672" t="s">
        <v>802</v>
      </c>
      <c r="D21" s="391">
        <v>18700</v>
      </c>
    </row>
    <row r="22" spans="1:4" ht="12.75">
      <c r="A22" s="42" t="s">
        <v>730</v>
      </c>
      <c r="B22" s="672" t="s">
        <v>359</v>
      </c>
      <c r="C22" s="672" t="s">
        <v>371</v>
      </c>
      <c r="D22" s="391">
        <v>2000</v>
      </c>
    </row>
    <row r="23" spans="1:4" ht="12.75">
      <c r="A23" s="42" t="s">
        <v>731</v>
      </c>
      <c r="B23" s="672" t="s">
        <v>360</v>
      </c>
      <c r="C23" s="672" t="s">
        <v>371</v>
      </c>
      <c r="D23" s="391">
        <v>2500</v>
      </c>
    </row>
    <row r="24" spans="1:4" ht="12.75">
      <c r="A24" s="42" t="s">
        <v>732</v>
      </c>
      <c r="B24" s="672" t="s">
        <v>374</v>
      </c>
      <c r="C24" s="672" t="s">
        <v>371</v>
      </c>
      <c r="D24" s="391">
        <v>32500</v>
      </c>
    </row>
    <row r="25" spans="1:4" ht="12.75">
      <c r="A25" s="42" t="s">
        <v>733</v>
      </c>
      <c r="B25" s="700" t="s">
        <v>361</v>
      </c>
      <c r="C25" s="700" t="s">
        <v>371</v>
      </c>
      <c r="D25" s="627">
        <v>8685</v>
      </c>
    </row>
    <row r="26" spans="1:4" ht="12.75">
      <c r="A26" s="1355" t="s">
        <v>734</v>
      </c>
      <c r="B26" s="700" t="s">
        <v>345</v>
      </c>
      <c r="C26" s="700" t="s">
        <v>371</v>
      </c>
      <c r="D26" s="627">
        <v>2600</v>
      </c>
    </row>
    <row r="27" spans="1:4" ht="12.75">
      <c r="A27" s="1356"/>
      <c r="B27" s="701" t="s">
        <v>628</v>
      </c>
      <c r="C27" s="702" t="s">
        <v>629</v>
      </c>
      <c r="D27" s="631">
        <v>1100</v>
      </c>
    </row>
    <row r="28" spans="1:4" ht="12.75">
      <c r="A28" s="629" t="s">
        <v>735</v>
      </c>
      <c r="B28" s="702" t="s">
        <v>700</v>
      </c>
      <c r="C28" s="702" t="s">
        <v>371</v>
      </c>
      <c r="D28" s="631">
        <v>2000</v>
      </c>
    </row>
    <row r="29" spans="1:4" ht="12.75">
      <c r="A29" s="629" t="s">
        <v>736</v>
      </c>
      <c r="B29" s="672" t="s">
        <v>475</v>
      </c>
      <c r="C29" s="672" t="s">
        <v>371</v>
      </c>
      <c r="D29" s="391">
        <v>1800</v>
      </c>
    </row>
    <row r="30" spans="1:4" ht="12.75">
      <c r="A30" s="629" t="s">
        <v>737</v>
      </c>
      <c r="B30" s="672" t="s">
        <v>392</v>
      </c>
      <c r="C30" s="672" t="s">
        <v>371</v>
      </c>
      <c r="D30" s="391">
        <v>1500</v>
      </c>
    </row>
    <row r="31" spans="1:4" ht="12.75">
      <c r="A31" s="629" t="s">
        <v>738</v>
      </c>
      <c r="B31" s="672" t="s">
        <v>322</v>
      </c>
      <c r="C31" s="672" t="s">
        <v>900</v>
      </c>
      <c r="D31" s="391">
        <v>124000</v>
      </c>
    </row>
    <row r="32" spans="1:4" ht="12.75">
      <c r="A32" s="629" t="s">
        <v>811</v>
      </c>
      <c r="B32" s="672" t="s">
        <v>362</v>
      </c>
      <c r="C32" s="672" t="s">
        <v>348</v>
      </c>
      <c r="D32" s="391">
        <v>93688</v>
      </c>
    </row>
    <row r="33" spans="1:4" ht="12.75">
      <c r="A33" s="629" t="s">
        <v>812</v>
      </c>
      <c r="B33" s="672" t="s">
        <v>362</v>
      </c>
      <c r="C33" s="672" t="s">
        <v>901</v>
      </c>
      <c r="D33" s="391">
        <v>46998</v>
      </c>
    </row>
    <row r="34" spans="1:4" ht="12.75">
      <c r="A34" s="629" t="s">
        <v>325</v>
      </c>
      <c r="B34" s="672" t="s">
        <v>362</v>
      </c>
      <c r="C34" s="672" t="s">
        <v>902</v>
      </c>
      <c r="D34" s="391">
        <v>10409</v>
      </c>
    </row>
    <row r="35" spans="1:4" s="1" customFormat="1" ht="12.75">
      <c r="A35" s="45"/>
      <c r="B35" s="671" t="s">
        <v>908</v>
      </c>
      <c r="C35" s="671"/>
      <c r="D35" s="511">
        <f>SUM(D21:D34)-D27</f>
        <v>347380</v>
      </c>
    </row>
    <row r="36" spans="1:4" ht="12.75">
      <c r="A36" s="45"/>
      <c r="B36" s="671" t="s">
        <v>409</v>
      </c>
      <c r="C36" s="672"/>
      <c r="D36" s="391"/>
    </row>
    <row r="37" spans="1:4" ht="12.75">
      <c r="A37" s="42" t="s">
        <v>329</v>
      </c>
      <c r="B37" s="672" t="s">
        <v>308</v>
      </c>
      <c r="C37" s="672" t="s">
        <v>309</v>
      </c>
      <c r="D37" s="391">
        <v>1179</v>
      </c>
    </row>
    <row r="38" spans="1:4" s="1" customFormat="1" ht="12.75">
      <c r="A38" s="45"/>
      <c r="B38" s="671" t="s">
        <v>592</v>
      </c>
      <c r="C38" s="671"/>
      <c r="D38" s="511">
        <f>SUM(D37:D37)</f>
        <v>1179</v>
      </c>
    </row>
    <row r="39" spans="1:4" s="187" customFormat="1" ht="12.75" customHeight="1">
      <c r="A39" s="55"/>
      <c r="B39" s="1353" t="s">
        <v>593</v>
      </c>
      <c r="C39" s="1354"/>
      <c r="D39" s="442">
        <f>SUM(D35,D38)</f>
        <v>348559</v>
      </c>
    </row>
    <row r="40" spans="1:4" s="187" customFormat="1" ht="12.75">
      <c r="A40" s="55"/>
      <c r="B40" s="703"/>
      <c r="C40" s="671"/>
      <c r="D40" s="459"/>
    </row>
    <row r="41" spans="1:4" s="1" customFormat="1" ht="12.75" customHeight="1">
      <c r="A41" s="45" t="s">
        <v>327</v>
      </c>
      <c r="B41" s="1339" t="s">
        <v>196</v>
      </c>
      <c r="C41" s="1340"/>
      <c r="D41" s="704">
        <f>SUM(D48,D55)</f>
        <v>151410</v>
      </c>
    </row>
    <row r="42" spans="1:4" s="1" customFormat="1" ht="12.75" customHeight="1">
      <c r="A42" s="45"/>
      <c r="B42" s="695"/>
      <c r="C42" s="696"/>
      <c r="D42" s="705"/>
    </row>
    <row r="43" spans="1:4" s="1" customFormat="1" ht="12.75" customHeight="1">
      <c r="A43" s="45"/>
      <c r="B43" s="1339" t="s">
        <v>407</v>
      </c>
      <c r="C43" s="1340"/>
      <c r="D43" s="705"/>
    </row>
    <row r="44" spans="1:4" ht="12.75">
      <c r="A44" s="45"/>
      <c r="B44" s="671" t="s">
        <v>764</v>
      </c>
      <c r="C44" s="706"/>
      <c r="D44" s="705"/>
    </row>
    <row r="45" spans="1:4" ht="12.75">
      <c r="A45" s="42" t="s">
        <v>524</v>
      </c>
      <c r="B45" s="188" t="s">
        <v>363</v>
      </c>
      <c r="C45" s="188" t="s">
        <v>364</v>
      </c>
      <c r="D45" s="705">
        <v>111535</v>
      </c>
    </row>
    <row r="46" spans="1:4" ht="12.75">
      <c r="A46" s="707" t="s">
        <v>525</v>
      </c>
      <c r="B46" s="188" t="s">
        <v>365</v>
      </c>
      <c r="C46" s="188" t="s">
        <v>618</v>
      </c>
      <c r="D46" s="705">
        <v>6911</v>
      </c>
    </row>
    <row r="47" spans="1:4" ht="12.75">
      <c r="A47" s="707"/>
      <c r="B47" s="708" t="s">
        <v>246</v>
      </c>
      <c r="C47" s="188"/>
      <c r="D47" s="704">
        <f>SUM(D45:D46)</f>
        <v>118446</v>
      </c>
    </row>
    <row r="48" spans="1:4" s="1" customFormat="1" ht="12.75" customHeight="1">
      <c r="A48" s="45"/>
      <c r="B48" s="1341" t="s">
        <v>594</v>
      </c>
      <c r="C48" s="1341"/>
      <c r="D48" s="704">
        <f>SUM(D47)</f>
        <v>118446</v>
      </c>
    </row>
    <row r="49" spans="1:4" s="1" customFormat="1" ht="12.75" customHeight="1">
      <c r="A49" s="45"/>
      <c r="B49" s="1352" t="s">
        <v>408</v>
      </c>
      <c r="C49" s="1352"/>
      <c r="D49" s="391"/>
    </row>
    <row r="50" spans="1:4" s="1" customFormat="1" ht="12.75">
      <c r="A50" s="709"/>
      <c r="B50" s="671" t="s">
        <v>764</v>
      </c>
      <c r="C50" s="688"/>
      <c r="D50" s="391"/>
    </row>
    <row r="51" spans="1:4" ht="12.75">
      <c r="A51" s="42" t="s">
        <v>526</v>
      </c>
      <c r="B51" s="188" t="s">
        <v>375</v>
      </c>
      <c r="C51" s="188" t="s">
        <v>366</v>
      </c>
      <c r="D51" s="391">
        <v>20000</v>
      </c>
    </row>
    <row r="52" spans="1:4" ht="12.75">
      <c r="A52" s="42" t="s">
        <v>729</v>
      </c>
      <c r="B52" s="188" t="s">
        <v>362</v>
      </c>
      <c r="C52" s="188" t="s">
        <v>367</v>
      </c>
      <c r="D52" s="710">
        <v>12414</v>
      </c>
    </row>
    <row r="53" spans="1:4" ht="12.75" customHeight="1">
      <c r="A53" s="42" t="s">
        <v>730</v>
      </c>
      <c r="B53" s="711" t="s">
        <v>445</v>
      </c>
      <c r="C53" s="698" t="s">
        <v>77</v>
      </c>
      <c r="D53" s="391">
        <v>550</v>
      </c>
    </row>
    <row r="54" spans="1:4" ht="12.75" customHeight="1">
      <c r="A54" s="42"/>
      <c r="B54" s="708" t="s">
        <v>246</v>
      </c>
      <c r="C54" s="698"/>
      <c r="D54" s="511">
        <f>SUM(D51:D53)</f>
        <v>32964</v>
      </c>
    </row>
    <row r="55" spans="1:4" s="1" customFormat="1" ht="12.75" customHeight="1">
      <c r="A55" s="45"/>
      <c r="B55" s="1353" t="s">
        <v>595</v>
      </c>
      <c r="C55" s="1354"/>
      <c r="D55" s="524">
        <f>SUM(D54)</f>
        <v>32964</v>
      </c>
    </row>
  </sheetData>
  <mergeCells count="12">
    <mergeCell ref="A2:D2"/>
    <mergeCell ref="A3:D3"/>
    <mergeCell ref="B43:C43"/>
    <mergeCell ref="B48:C48"/>
    <mergeCell ref="A26:A27"/>
    <mergeCell ref="B49:C49"/>
    <mergeCell ref="B55:C55"/>
    <mergeCell ref="B9:C9"/>
    <mergeCell ref="B41:C41"/>
    <mergeCell ref="B17:C17"/>
    <mergeCell ref="B19:C19"/>
    <mergeCell ref="B39:C39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Header>&amp;C&amp;"Times New Roman CE,Normál"&amp;P&amp;R&amp;"Times New Roman CE,Normál"2/b.számú melléklet</oddHeader>
    <oddFooter>&amp;L&amp;"Times New Roman CE,Normál"&amp;8&amp;F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H50"/>
  <sheetViews>
    <sheetView workbookViewId="0" topLeftCell="A35">
      <selection activeCell="C45" sqref="C45"/>
    </sheetView>
  </sheetViews>
  <sheetFormatPr defaultColWidth="9.140625" defaultRowHeight="12.75"/>
  <cols>
    <col min="1" max="1" width="4.8515625" style="27" customWidth="1"/>
    <col min="2" max="2" width="29.00390625" style="27" customWidth="1"/>
    <col min="3" max="3" width="43.421875" style="27" customWidth="1"/>
    <col min="4" max="4" width="12.7109375" style="721" customWidth="1"/>
    <col min="5" max="16384" width="9.140625" style="51" customWidth="1"/>
  </cols>
  <sheetData>
    <row r="3" spans="1:4" ht="15" customHeight="1">
      <c r="A3" s="1357" t="s">
        <v>426</v>
      </c>
      <c r="B3" s="1357"/>
      <c r="C3" s="1357"/>
      <c r="D3" s="1357"/>
    </row>
    <row r="4" spans="1:4" ht="15" customHeight="1">
      <c r="A4" s="1357" t="s">
        <v>80</v>
      </c>
      <c r="B4" s="1357"/>
      <c r="C4" s="1357"/>
      <c r="D4" s="1357"/>
    </row>
    <row r="5" spans="1:4" ht="15" customHeight="1">
      <c r="A5" s="712"/>
      <c r="B5" s="712"/>
      <c r="C5" s="712"/>
      <c r="D5" s="1316"/>
    </row>
    <row r="6" ht="12.75">
      <c r="D6" s="386" t="s">
        <v>128</v>
      </c>
    </row>
    <row r="7" spans="1:4" s="655" customFormat="1" ht="39.75" customHeight="1">
      <c r="A7" s="32" t="s">
        <v>169</v>
      </c>
      <c r="B7" s="108" t="s">
        <v>412</v>
      </c>
      <c r="C7" s="654" t="s">
        <v>676</v>
      </c>
      <c r="D7" s="657" t="s">
        <v>253</v>
      </c>
    </row>
    <row r="8" spans="1:4" ht="9.75" customHeight="1">
      <c r="A8" s="31" t="s">
        <v>524</v>
      </c>
      <c r="B8" s="129" t="s">
        <v>525</v>
      </c>
      <c r="C8" s="663" t="s">
        <v>526</v>
      </c>
      <c r="D8" s="1317" t="s">
        <v>729</v>
      </c>
    </row>
    <row r="9" spans="1:4" ht="12.75" customHeight="1">
      <c r="A9" s="45" t="s">
        <v>417</v>
      </c>
      <c r="B9" s="713" t="s">
        <v>764</v>
      </c>
      <c r="C9" s="663"/>
      <c r="D9" s="1317"/>
    </row>
    <row r="10" spans="1:4" s="1" customFormat="1" ht="12.75" customHeight="1">
      <c r="A10" s="45" t="s">
        <v>524</v>
      </c>
      <c r="B10" s="714" t="s">
        <v>113</v>
      </c>
      <c r="C10" s="715"/>
      <c r="D10" s="391"/>
    </row>
    <row r="11" spans="1:4" s="378" customFormat="1" ht="25.5">
      <c r="A11" s="56"/>
      <c r="B11" s="139"/>
      <c r="C11" s="374" t="s">
        <v>488</v>
      </c>
      <c r="D11" s="459">
        <v>12000</v>
      </c>
    </row>
    <row r="12" spans="1:4" s="378" customFormat="1" ht="25.5">
      <c r="A12" s="56"/>
      <c r="B12" s="281"/>
      <c r="C12" s="676" t="s">
        <v>489</v>
      </c>
      <c r="D12" s="459">
        <v>40000</v>
      </c>
    </row>
    <row r="13" spans="1:4" s="378" customFormat="1" ht="25.5">
      <c r="A13" s="56"/>
      <c r="B13" s="281"/>
      <c r="C13" s="676" t="s">
        <v>490</v>
      </c>
      <c r="D13" s="459">
        <v>5000</v>
      </c>
    </row>
    <row r="14" spans="1:4" ht="12.75">
      <c r="A14" s="42"/>
      <c r="B14" s="281"/>
      <c r="C14" s="672" t="s">
        <v>410</v>
      </c>
      <c r="D14" s="391">
        <v>9000</v>
      </c>
    </row>
    <row r="15" spans="1:4" ht="12.75">
      <c r="A15" s="42"/>
      <c r="B15" s="139"/>
      <c r="C15" s="672" t="s">
        <v>388</v>
      </c>
      <c r="D15" s="391">
        <v>30000</v>
      </c>
    </row>
    <row r="16" spans="1:4" ht="12.75">
      <c r="A16" s="42"/>
      <c r="B16" s="139"/>
      <c r="C16" s="672" t="s">
        <v>639</v>
      </c>
      <c r="D16" s="391">
        <v>60000</v>
      </c>
    </row>
    <row r="17" spans="1:4" s="1" customFormat="1" ht="12.75">
      <c r="A17" s="42"/>
      <c r="B17" s="716"/>
      <c r="C17" s="672" t="s">
        <v>894</v>
      </c>
      <c r="D17" s="391">
        <v>30000</v>
      </c>
    </row>
    <row r="18" spans="1:4" s="1" customFormat="1" ht="25.5">
      <c r="A18" s="42"/>
      <c r="B18" s="716"/>
      <c r="C18" s="38" t="s">
        <v>945</v>
      </c>
      <c r="D18" s="459">
        <v>6000</v>
      </c>
    </row>
    <row r="19" spans="1:4" s="1" customFormat="1" ht="12.75">
      <c r="A19" s="45"/>
      <c r="B19" s="714" t="s">
        <v>694</v>
      </c>
      <c r="C19" s="671"/>
      <c r="D19" s="511">
        <f>SUM(D11:D18)</f>
        <v>192000</v>
      </c>
    </row>
    <row r="20" spans="1:4" ht="12.75">
      <c r="A20" s="45" t="s">
        <v>525</v>
      </c>
      <c r="B20" s="141" t="s">
        <v>114</v>
      </c>
      <c r="C20" s="717"/>
      <c r="D20" s="391"/>
    </row>
    <row r="21" spans="1:4" ht="12.75">
      <c r="A21" s="42"/>
      <c r="B21" s="138"/>
      <c r="C21" s="672" t="s">
        <v>241</v>
      </c>
      <c r="D21" s="718">
        <v>14000</v>
      </c>
    </row>
    <row r="22" spans="1:4" ht="12.75">
      <c r="A22" s="42"/>
      <c r="B22" s="138"/>
      <c r="C22" s="672" t="s">
        <v>242</v>
      </c>
      <c r="D22" s="718">
        <v>1376</v>
      </c>
    </row>
    <row r="23" spans="1:4" ht="12.75">
      <c r="A23" s="42"/>
      <c r="B23" s="138"/>
      <c r="C23" s="672" t="s">
        <v>413</v>
      </c>
      <c r="D23" s="718">
        <v>40000</v>
      </c>
    </row>
    <row r="24" spans="1:4" s="1" customFormat="1" ht="12.75">
      <c r="A24" s="45"/>
      <c r="B24" s="141" t="s">
        <v>895</v>
      </c>
      <c r="C24" s="688"/>
      <c r="D24" s="511">
        <f>SUM(D21:D23)</f>
        <v>55376</v>
      </c>
    </row>
    <row r="25" spans="1:4" s="1" customFormat="1" ht="12.75">
      <c r="A25" s="45" t="s">
        <v>526</v>
      </c>
      <c r="B25" s="141" t="s">
        <v>116</v>
      </c>
      <c r="C25" s="688"/>
      <c r="D25" s="391"/>
    </row>
    <row r="26" spans="1:4" ht="12.75">
      <c r="A26" s="42"/>
      <c r="B26" s="138"/>
      <c r="C26" s="672" t="s">
        <v>206</v>
      </c>
      <c r="D26" s="391">
        <v>70000</v>
      </c>
    </row>
    <row r="27" spans="1:4" ht="12.75">
      <c r="A27" s="42"/>
      <c r="B27" s="138"/>
      <c r="C27" s="672" t="s">
        <v>669</v>
      </c>
      <c r="D27" s="391">
        <v>3000</v>
      </c>
    </row>
    <row r="28" spans="1:4" ht="12.75">
      <c r="A28" s="42"/>
      <c r="B28" s="138"/>
      <c r="C28" s="672" t="s">
        <v>744</v>
      </c>
      <c r="D28" s="391"/>
    </row>
    <row r="29" spans="1:4" ht="12.75">
      <c r="A29" s="42"/>
      <c r="B29" s="138"/>
      <c r="C29" s="717" t="s">
        <v>209</v>
      </c>
      <c r="D29" s="391">
        <v>4000</v>
      </c>
    </row>
    <row r="30" spans="1:4" ht="12.75">
      <c r="A30" s="42"/>
      <c r="B30" s="138"/>
      <c r="C30" s="706" t="s">
        <v>485</v>
      </c>
      <c r="D30" s="391">
        <v>38000</v>
      </c>
    </row>
    <row r="31" spans="1:4" s="1" customFormat="1" ht="12.75">
      <c r="A31" s="686"/>
      <c r="B31" s="719"/>
      <c r="C31" s="706" t="s">
        <v>470</v>
      </c>
      <c r="D31" s="391">
        <v>50000</v>
      </c>
    </row>
    <row r="32" spans="1:4" s="1" customFormat="1" ht="12.75">
      <c r="A32" s="686"/>
      <c r="B32" s="719"/>
      <c r="C32" s="706" t="s">
        <v>219</v>
      </c>
      <c r="D32" s="391">
        <v>14000</v>
      </c>
    </row>
    <row r="33" spans="1:4" s="1" customFormat="1" ht="12.75">
      <c r="A33" s="45"/>
      <c r="B33" s="141"/>
      <c r="C33" s="188" t="s">
        <v>82</v>
      </c>
      <c r="D33" s="391">
        <v>1000</v>
      </c>
    </row>
    <row r="34" spans="1:4" s="1" customFormat="1" ht="12.75">
      <c r="A34" s="45"/>
      <c r="B34" s="141"/>
      <c r="C34" s="188" t="s">
        <v>983</v>
      </c>
      <c r="D34" s="391">
        <v>25000</v>
      </c>
    </row>
    <row r="35" spans="1:4" s="1" customFormat="1" ht="12.75">
      <c r="A35" s="45"/>
      <c r="B35" s="141" t="s">
        <v>695</v>
      </c>
      <c r="C35" s="140"/>
      <c r="D35" s="511">
        <f>SUM(D26:D34)</f>
        <v>205000</v>
      </c>
    </row>
    <row r="36" spans="1:4" s="1" customFormat="1" ht="12.75">
      <c r="A36" s="45" t="s">
        <v>729</v>
      </c>
      <c r="B36" s="141" t="s">
        <v>696</v>
      </c>
      <c r="C36" s="140"/>
      <c r="D36" s="391"/>
    </row>
    <row r="37" spans="1:4" s="1" customFormat="1" ht="12.75">
      <c r="A37" s="45"/>
      <c r="B37" s="141"/>
      <c r="C37" s="188" t="s">
        <v>207</v>
      </c>
      <c r="D37" s="391">
        <v>70000</v>
      </c>
    </row>
    <row r="38" spans="1:4" s="1" customFormat="1" ht="12.75">
      <c r="A38" s="45"/>
      <c r="B38" s="141"/>
      <c r="C38" s="188" t="s">
        <v>472</v>
      </c>
      <c r="D38" s="391">
        <v>4680</v>
      </c>
    </row>
    <row r="39" spans="1:4" s="1" customFormat="1" ht="12.75">
      <c r="A39" s="45"/>
      <c r="B39" s="141" t="s">
        <v>717</v>
      </c>
      <c r="C39" s="140"/>
      <c r="D39" s="511">
        <f>SUM(D37:D38)</f>
        <v>74680</v>
      </c>
    </row>
    <row r="40" spans="1:4" s="1" customFormat="1" ht="12.75">
      <c r="A40" s="45"/>
      <c r="B40" s="688" t="s">
        <v>208</v>
      </c>
      <c r="C40" s="687"/>
      <c r="D40" s="704">
        <f>SUM(D19,D24,D35,D39)</f>
        <v>527056</v>
      </c>
    </row>
    <row r="41" spans="1:4" s="1" customFormat="1" ht="12.75">
      <c r="A41" s="48"/>
      <c r="B41" s="50"/>
      <c r="C41" s="1318"/>
      <c r="D41" s="1319"/>
    </row>
    <row r="42" spans="1:4" s="1" customFormat="1" ht="12.75">
      <c r="A42" s="48"/>
      <c r="B42" s="50"/>
      <c r="C42" s="1318"/>
      <c r="D42" s="1319"/>
    </row>
    <row r="43" spans="1:4" ht="12.75">
      <c r="A43" s="188"/>
      <c r="B43" s="39" t="s">
        <v>83</v>
      </c>
      <c r="C43" s="188"/>
      <c r="D43" s="65"/>
    </row>
    <row r="44" spans="1:8" ht="12.75">
      <c r="A44" s="45" t="s">
        <v>524</v>
      </c>
      <c r="B44" s="688" t="s">
        <v>116</v>
      </c>
      <c r="C44" s="188"/>
      <c r="D44" s="65"/>
      <c r="E44" s="1313"/>
      <c r="F44" s="1313"/>
      <c r="G44" s="1313"/>
      <c r="H44" s="1313"/>
    </row>
    <row r="45" spans="1:8" ht="12.75">
      <c r="A45" s="188"/>
      <c r="B45" s="188"/>
      <c r="C45" s="1320" t="s">
        <v>486</v>
      </c>
      <c r="D45" s="1321">
        <v>4515</v>
      </c>
      <c r="E45" s="1312"/>
      <c r="F45" s="1312"/>
      <c r="G45" s="1313"/>
      <c r="H45" s="1313"/>
    </row>
    <row r="46" spans="1:8" s="1" customFormat="1" ht="12.75">
      <c r="A46" s="688"/>
      <c r="B46" s="688" t="s">
        <v>695</v>
      </c>
      <c r="C46" s="1322"/>
      <c r="D46" s="1323">
        <f>SUM(D45)</f>
        <v>4515</v>
      </c>
      <c r="E46" s="1314"/>
      <c r="F46" s="1314"/>
      <c r="G46" s="1315"/>
      <c r="H46" s="1315"/>
    </row>
    <row r="47" spans="1:8" ht="12.75">
      <c r="A47" s="45" t="s">
        <v>525</v>
      </c>
      <c r="B47" s="688" t="s">
        <v>696</v>
      </c>
      <c r="C47" s="1320"/>
      <c r="D47" s="1321"/>
      <c r="E47" s="1312"/>
      <c r="F47" s="1312"/>
      <c r="G47" s="1313"/>
      <c r="H47" s="1313"/>
    </row>
    <row r="48" spans="1:4" ht="12.75">
      <c r="A48" s="188"/>
      <c r="B48" s="188"/>
      <c r="C48" s="1320" t="s">
        <v>411</v>
      </c>
      <c r="D48" s="65">
        <v>25000</v>
      </c>
    </row>
    <row r="49" spans="1:4" s="1" customFormat="1" ht="12.75">
      <c r="A49" s="688"/>
      <c r="B49" s="688" t="s">
        <v>717</v>
      </c>
      <c r="C49" s="688"/>
      <c r="D49" s="66">
        <f>SUM(D48)</f>
        <v>25000</v>
      </c>
    </row>
    <row r="50" spans="1:4" s="1" customFormat="1" ht="12.75">
      <c r="A50" s="688"/>
      <c r="B50" s="688" t="s">
        <v>487</v>
      </c>
      <c r="C50" s="688"/>
      <c r="D50" s="66">
        <f>SUM(D49,D46)</f>
        <v>29515</v>
      </c>
    </row>
  </sheetData>
  <mergeCells count="2">
    <mergeCell ref="A3:D3"/>
    <mergeCell ref="A4:D4"/>
  </mergeCells>
  <printOptions horizontalCentered="1"/>
  <pageMargins left="0.3937007874015748" right="0.3937007874015748" top="0.7874015748031497" bottom="0.984251968503937" header="0.5118110236220472" footer="0.5118110236220472"/>
  <pageSetup horizontalDpi="300" verticalDpi="300" orientation="portrait" paperSize="9" r:id="rId1"/>
  <headerFooter alignWithMargins="0">
    <oddHeader>&amp;R&amp;"Times New Roman CE,Normál"2/c.számú melléklet</oddHeader>
    <oddFooter>&amp;L&amp;"Times New Roman CE,Normál"&amp;8&amp;F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ntry="1"/>
  <dimension ref="A1:H52"/>
  <sheetViews>
    <sheetView workbookViewId="0" topLeftCell="A40">
      <selection activeCell="F50" sqref="F50:F51"/>
    </sheetView>
  </sheetViews>
  <sheetFormatPr defaultColWidth="9.140625" defaultRowHeight="12.75"/>
  <cols>
    <col min="1" max="1" width="4.00390625" style="8" customWidth="1"/>
    <col min="2" max="2" width="37.8515625" style="10" customWidth="1"/>
    <col min="3" max="3" width="9.8515625" style="10" customWidth="1"/>
    <col min="4" max="4" width="10.140625" style="9" customWidth="1"/>
    <col min="5" max="5" width="11.140625" style="9" customWidth="1"/>
    <col min="6" max="6" width="10.140625" style="9" customWidth="1"/>
    <col min="7" max="7" width="8.8515625" style="3" customWidth="1"/>
    <col min="8" max="8" width="8.421875" style="3" customWidth="1"/>
    <col min="9" max="16384" width="8.8515625" style="3" customWidth="1"/>
  </cols>
  <sheetData>
    <row r="1" spans="1:8" ht="18" customHeight="1">
      <c r="A1" s="1342" t="s">
        <v>426</v>
      </c>
      <c r="B1" s="1343"/>
      <c r="C1" s="1343"/>
      <c r="D1" s="1343"/>
      <c r="E1" s="1343"/>
      <c r="F1" s="1343"/>
      <c r="G1" s="1343"/>
      <c r="H1" s="1343"/>
    </row>
    <row r="2" spans="1:8" ht="18" customHeight="1">
      <c r="A2" s="1344" t="s">
        <v>903</v>
      </c>
      <c r="B2" s="1345"/>
      <c r="C2" s="1345"/>
      <c r="D2" s="1345"/>
      <c r="E2" s="1345"/>
      <c r="F2" s="1345"/>
      <c r="G2" s="1345"/>
      <c r="H2" s="1345"/>
    </row>
    <row r="3" spans="1:8" ht="18" customHeight="1">
      <c r="A3" s="1346" t="s">
        <v>759</v>
      </c>
      <c r="B3" s="1346"/>
      <c r="C3" s="1346"/>
      <c r="D3" s="1346"/>
      <c r="E3" s="1346"/>
      <c r="F3" s="1346"/>
      <c r="G3" s="1346"/>
      <c r="H3" s="1346"/>
    </row>
    <row r="4" spans="1:8" ht="18" customHeight="1">
      <c r="A4" s="1347" t="s">
        <v>684</v>
      </c>
      <c r="B4" s="1345"/>
      <c r="C4" s="1345"/>
      <c r="D4" s="1345"/>
      <c r="E4" s="1345"/>
      <c r="F4" s="1345"/>
      <c r="G4" s="1345"/>
      <c r="H4" s="1345"/>
    </row>
    <row r="5" spans="2:8" ht="15.75" customHeight="1">
      <c r="B5" s="720"/>
      <c r="C5" s="720"/>
      <c r="D5" s="4"/>
      <c r="E5" s="4"/>
      <c r="F5" s="503"/>
      <c r="G5" s="721"/>
      <c r="H5" s="722" t="s">
        <v>128</v>
      </c>
    </row>
    <row r="6" spans="1:8" s="5" customFormat="1" ht="39.75" customHeight="1">
      <c r="A6" s="1226" t="s">
        <v>169</v>
      </c>
      <c r="B6" s="197" t="s">
        <v>129</v>
      </c>
      <c r="C6" s="725" t="s">
        <v>257</v>
      </c>
      <c r="D6" s="563" t="s">
        <v>911</v>
      </c>
      <c r="E6" s="563" t="s">
        <v>258</v>
      </c>
      <c r="F6" s="988" t="s">
        <v>249</v>
      </c>
      <c r="G6" s="723" t="s">
        <v>259</v>
      </c>
      <c r="H6" s="723" t="s">
        <v>259</v>
      </c>
    </row>
    <row r="7" spans="1:8" s="5" customFormat="1" ht="12" customHeight="1">
      <c r="A7" s="197" t="s">
        <v>524</v>
      </c>
      <c r="B7" s="445" t="s">
        <v>525</v>
      </c>
      <c r="C7" s="445" t="s">
        <v>526</v>
      </c>
      <c r="D7" s="445" t="s">
        <v>729</v>
      </c>
      <c r="E7" s="445" t="s">
        <v>730</v>
      </c>
      <c r="F7" s="989" t="s">
        <v>731</v>
      </c>
      <c r="G7" s="724" t="s">
        <v>250</v>
      </c>
      <c r="H7" s="724" t="s">
        <v>251</v>
      </c>
    </row>
    <row r="8" spans="1:8" s="6" customFormat="1" ht="12" customHeight="1">
      <c r="A8" s="198"/>
      <c r="B8" s="452" t="s">
        <v>739</v>
      </c>
      <c r="C8" s="58">
        <f>SUM('3a.számú melléklet'!C8+'3b.számú melléklet'!C8+'3c.számú melléklet'!C8+'3d.számú melléklet'!C8+'3e.számú melléklet'!C8+'3f.számú melléklet'!C8+'3g.számú melléklet'!C8+'3h.számú melléklet'!C8)</f>
        <v>2204.5</v>
      </c>
      <c r="D8" s="58">
        <f>SUM('3a.számú melléklet'!D8+'3b.számú melléklet'!D8+'3c.számú melléklet'!D8+'3d.számú melléklet'!D8+'3e.számú melléklet'!D8+'3f.számú melléklet'!D8+'3g.számú melléklet'!D8+'3h.számú melléklet'!D8)</f>
        <v>2300.5</v>
      </c>
      <c r="E8" s="58">
        <f>SUM('3a.számú melléklet'!E8+'3b.számú melléklet'!E8+'3c.számú melléklet'!E8+'3d.számú melléklet'!E8+'3e.számú melléklet'!E8+'3f.számú melléklet'!E8+'3g.számú melléklet'!E8+'3h.számú melléklet'!E8)</f>
        <v>2253</v>
      </c>
      <c r="F8" s="58">
        <f>SUM('3a.számú melléklet'!F8+'3b.számú melléklet'!F8+'3c.számú melléklet'!F8+'3d.számú melléklet'!F8+'3e.számú melléklet'!F8+'3f.számú melléklet'!F8+'3g.számú melléklet'!F8+'3h.számú melléklet'!F8)</f>
        <v>2225</v>
      </c>
      <c r="G8" s="453"/>
      <c r="H8" s="453"/>
    </row>
    <row r="9" spans="1:8" s="533" customFormat="1" ht="12" customHeight="1">
      <c r="A9" s="531"/>
      <c r="B9" s="532" t="s">
        <v>459</v>
      </c>
      <c r="C9" s="28"/>
      <c r="D9" s="28"/>
      <c r="E9" s="28"/>
      <c r="F9" s="28"/>
      <c r="G9" s="453"/>
      <c r="H9" s="453"/>
    </row>
    <row r="10" spans="1:8" s="7" customFormat="1" ht="12" customHeight="1">
      <c r="A10" s="199" t="s">
        <v>524</v>
      </c>
      <c r="B10" s="449" t="s">
        <v>460</v>
      </c>
      <c r="C10" s="498">
        <f>SUM('3a.számú melléklet'!C10+'3b.számú melléklet'!C10+'3c.számú melléklet'!C10+'3d.számú melléklet'!C10+'3e.számú melléklet'!C10+'3f.számú melléklet'!C10+'3g.számú melléklet'!C10+'3h.számú melléklet'!C10)</f>
        <v>4861108</v>
      </c>
      <c r="D10" s="498">
        <f>SUM('3a.számú melléklet'!D10+'3b.számú melléklet'!D10+'3c.számú melléklet'!D10+'3d.számú melléklet'!D10+'3e.számú melléklet'!D10+'3f.számú melléklet'!D10+'3g.számú melléklet'!D10+'3h.számú melléklet'!D10)</f>
        <v>5138229</v>
      </c>
      <c r="E10" s="498">
        <f>SUM('3a.számú melléklet'!E10+'3b.számú melléklet'!E10+'3c.számú melléklet'!E10+'3d.számú melléklet'!E10+'3e.számú melléklet'!E10+'3f.számú melléklet'!E10+'3g.számú melléklet'!E10+'3h.számú melléklet'!E10)</f>
        <v>5184454</v>
      </c>
      <c r="F10" s="28">
        <f>SUM('3a.számú melléklet'!F10+'3b.számú melléklet'!F10+'3c.számú melléklet'!F10+'3d.számú melléklet'!F10+'3e.számú melléklet'!F10+'3f.számú melléklet'!F10+'3g.számú melléklet'!F10+'3h.számú melléklet'!F10)</f>
        <v>5060788</v>
      </c>
      <c r="G10" s="648">
        <f>IF(D10=0,0,F10/D10)</f>
        <v>0.9849284646519257</v>
      </c>
      <c r="H10" s="648">
        <f>IF(E10=0,0,F10/E10)</f>
        <v>0.9761467649245225</v>
      </c>
    </row>
    <row r="11" spans="1:8" s="7" customFormat="1" ht="12" customHeight="1">
      <c r="A11" s="199" t="s">
        <v>525</v>
      </c>
      <c r="B11" s="450" t="s">
        <v>461</v>
      </c>
      <c r="C11" s="498">
        <f>SUM('3a.számú melléklet'!C11+'3b.számú melléklet'!C11+'3c.számú melléklet'!C11+'3d.számú melléklet'!C11+'3e.számú melléklet'!C11+'3f.számú melléklet'!C11+'3g.számú melléklet'!C11+'3h.számú melléklet'!C11)</f>
        <v>1587506</v>
      </c>
      <c r="D11" s="498">
        <f>SUM('3a.számú melléklet'!D11+'3b.számú melléklet'!D11+'3c.számú melléklet'!D11+'3d.számú melléklet'!D11+'3e.számú melléklet'!D11+'3f.számú melléklet'!D11+'3g.számú melléklet'!D11+'3h.számú melléklet'!D11)</f>
        <v>1641238</v>
      </c>
      <c r="E11" s="498">
        <f>SUM('3a.számú melléklet'!E11+'3b.számú melléklet'!E11+'3c.számú melléklet'!E11+'3d.számú melléklet'!E11+'3e.számú melléklet'!E11+'3f.számú melléklet'!E11+'3g.számú melléklet'!E11+'3h.számú melléklet'!E11)</f>
        <v>1652637</v>
      </c>
      <c r="F11" s="28">
        <f>SUM('3a.számú melléklet'!F11+'3b.számú melléklet'!F11+'3c.számú melléklet'!F11+'3d.számú melléklet'!F11+'3e.számú melléklet'!F11+'3f.számú melléklet'!F11+'3g.számú melléklet'!F11+'3h.számú melléklet'!F11)</f>
        <v>1619514</v>
      </c>
      <c r="G11" s="648">
        <f aca="true" t="shared" si="0" ref="G11:G52">IF(D11=0,0,F11/D11)</f>
        <v>0.9867636503663698</v>
      </c>
      <c r="H11" s="648">
        <f aca="true" t="shared" si="1" ref="H11:H52">IF(E11=0,0,F11/E11)</f>
        <v>0.9799574861267175</v>
      </c>
    </row>
    <row r="12" spans="1:8" s="7" customFormat="1" ht="12" customHeight="1">
      <c r="A12" s="199"/>
      <c r="B12" s="447" t="s">
        <v>316</v>
      </c>
      <c r="C12" s="498">
        <f>SUM('3a.számú melléklet'!C12+'3b.számú melléklet'!C12+'3c.számú melléklet'!C12+'3d.számú melléklet'!C12+'3e.számú melléklet'!C12+'3f.számú melléklet'!C12+'3g.számú melléklet'!C12+'3h.számú melléklet'!C12)</f>
        <v>1349892</v>
      </c>
      <c r="D12" s="498">
        <f>SUM('3a.számú melléklet'!D12+'3b.számú melléklet'!D12+'3c.számú melléklet'!D12+'3d.számú melléklet'!D12+'3e.számú melléklet'!D12+'3f.számú melléklet'!D12+'3g.számú melléklet'!D12+'3h.számú melléklet'!D12)</f>
        <v>1432448</v>
      </c>
      <c r="E12" s="498">
        <f>SUM('3a.számú melléklet'!E12+'3b.számú melléklet'!E12+'3c.számú melléklet'!E12+'3d.számú melléklet'!E12+'3e.számú melléklet'!E12+'3f.számú melléklet'!E12+'3g.számú melléklet'!E12+'3h.számú melléklet'!E12)</f>
        <v>1440669</v>
      </c>
      <c r="F12" s="28">
        <f>SUM('3a.számú melléklet'!F12+'3b.számú melléklet'!F12+'3c.számú melléklet'!F12+'3d.számú melléklet'!F12+'3e.számú melléklet'!F12+'3f.számú melléklet'!F12+'3g.számú melléklet'!F12+'3h.számú melléklet'!F12)</f>
        <v>1410352</v>
      </c>
      <c r="G12" s="648">
        <f t="shared" si="0"/>
        <v>0.9845746582074881</v>
      </c>
      <c r="H12" s="648">
        <f t="shared" si="1"/>
        <v>0.9789563043280587</v>
      </c>
    </row>
    <row r="13" spans="1:8" s="7" customFormat="1" ht="12" customHeight="1">
      <c r="A13" s="199"/>
      <c r="B13" s="447" t="s">
        <v>198</v>
      </c>
      <c r="C13" s="498">
        <f>SUM('3a.számú melléklet'!C13+'3b.számú melléklet'!C13+'3c.számú melléklet'!C13+'3d.számú melléklet'!C13+'3e.számú melléklet'!C13+'3f.számú melléklet'!C13+'3g.számú melléklet'!C13+'3h.számú melléklet'!C13)</f>
        <v>136001</v>
      </c>
      <c r="D13" s="498">
        <f>SUM('3a.számú melléklet'!D13+'3b.számú melléklet'!D13+'3c.számú melléklet'!D13+'3d.számú melléklet'!D13+'3e.számú melléklet'!D13+'3f.számú melléklet'!D13+'3g.számú melléklet'!D13+'3h.számú melléklet'!D13)</f>
        <v>146034</v>
      </c>
      <c r="E13" s="498">
        <f>SUM('3a.számú melléklet'!E13+'3b.számú melléklet'!E13+'3c.számú melléklet'!E13+'3d.számú melléklet'!E13+'3e.számú melléklet'!E13+'3f.számú melléklet'!E13+'3g.számú melléklet'!E13+'3h.számú melléklet'!E13)</f>
        <v>146047</v>
      </c>
      <c r="F13" s="28">
        <f>SUM('3a.számú melléklet'!F13+'3b.számú melléklet'!F13+'3c.számú melléklet'!F13+'3d.számú melléklet'!F13+'3e.számú melléklet'!F13+'3f.számú melléklet'!F13+'3g.számú melléklet'!F13+'3h.számú melléklet'!F13)</f>
        <v>145151</v>
      </c>
      <c r="G13" s="648">
        <f t="shared" si="0"/>
        <v>0.9939534628922032</v>
      </c>
      <c r="H13" s="648">
        <f t="shared" si="1"/>
        <v>0.9938649886680315</v>
      </c>
    </row>
    <row r="14" spans="1:8" s="7" customFormat="1" ht="12" customHeight="1">
      <c r="A14" s="199"/>
      <c r="B14" s="447" t="s">
        <v>199</v>
      </c>
      <c r="C14" s="498">
        <f>SUM('3a.számú melléklet'!C14+'3b.számú melléklet'!C14+'3c.számú melléklet'!C14+'3d.számú melléklet'!C14+'3e.számú melléklet'!C14+'3f.számú melléklet'!C14+'3g.számú melléklet'!C14+'3h.számú melléklet'!C14)</f>
        <v>88691</v>
      </c>
      <c r="D14" s="498">
        <f>SUM('3a.számú melléklet'!D14+'3b.számú melléklet'!D14+'3c.számú melléklet'!D14+'3d.számú melléklet'!D14+'3e.számú melléklet'!D14+'3f.számú melléklet'!D14+'3g.számú melléklet'!D14+'3h.számú melléklet'!D14)</f>
        <v>49624</v>
      </c>
      <c r="E14" s="498">
        <f>SUM('3a.számú melléklet'!E14+'3b.számú melléklet'!E14+'3c.számú melléklet'!E14+'3d.számú melléklet'!E14+'3e.számú melléklet'!E14+'3f.számú melléklet'!E14+'3g.számú melléklet'!E14+'3h.számú melléklet'!E14)</f>
        <v>50940</v>
      </c>
      <c r="F14" s="28">
        <f>SUM('3a.számú melléklet'!F14+'3b.számú melléklet'!F14+'3c.számú melléklet'!F14+'3d.számú melléklet'!F14+'3e.számú melléklet'!F14+'3f.számú melléklet'!F14+'3g.számú melléklet'!F14+'3h.számú melléklet'!F14)</f>
        <v>51653</v>
      </c>
      <c r="G14" s="648">
        <f t="shared" si="0"/>
        <v>1.0408874738029985</v>
      </c>
      <c r="H14" s="648">
        <f t="shared" si="1"/>
        <v>1.0139968590498625</v>
      </c>
    </row>
    <row r="15" spans="1:8" s="7" customFormat="1" ht="12" customHeight="1">
      <c r="A15" s="199"/>
      <c r="B15" s="447" t="s">
        <v>315</v>
      </c>
      <c r="C15" s="498">
        <f>SUM('3a.számú melléklet'!C15+'3b.számú melléklet'!C15+'3c.számú melléklet'!C15+'3d.számú melléklet'!C15+'3e.számú melléklet'!C15+'3f.számú melléklet'!C15+'3g.számú melléklet'!C15+'3h.számú melléklet'!C15)</f>
        <v>12922</v>
      </c>
      <c r="D15" s="498">
        <f>SUM('3a.számú melléklet'!D15+'3b.számú melléklet'!D15+'3c.számú melléklet'!D15+'3d.számú melléklet'!D15+'3e.számú melléklet'!D15+'3f.számú melléklet'!D15+'3g.számú melléklet'!D15+'3h.számú melléklet'!D15)</f>
        <v>13132</v>
      </c>
      <c r="E15" s="498">
        <f>SUM('3a.számú melléklet'!E15+'3b.számú melléklet'!E15+'3c.számú melléklet'!E15+'3d.számú melléklet'!E15+'3e.számú melléklet'!E15+'3f.számú melléklet'!E15+'3g.számú melléklet'!E15+'3h.számú melléklet'!E15)</f>
        <v>14981</v>
      </c>
      <c r="F15" s="28">
        <f>SUM('3a.számú melléklet'!F15+'3b.számú melléklet'!F15+'3c.számú melléklet'!F15+'3d.számú melléklet'!F15+'3e.számú melléklet'!F15+'3f.számú melléklet'!F15+'3g.számú melléklet'!F15+'3h.számú melléklet'!F15)</f>
        <v>12358</v>
      </c>
      <c r="G15" s="648">
        <f t="shared" si="0"/>
        <v>0.941060006091989</v>
      </c>
      <c r="H15" s="648">
        <f t="shared" si="1"/>
        <v>0.8249115546358721</v>
      </c>
    </row>
    <row r="16" spans="1:8" s="7" customFormat="1" ht="12" customHeight="1">
      <c r="A16" s="199" t="s">
        <v>526</v>
      </c>
      <c r="B16" s="449" t="s">
        <v>462</v>
      </c>
      <c r="C16" s="498">
        <f>SUM('3a.számú melléklet'!C16+'3b.számú melléklet'!C16+'3c.számú melléklet'!C16+'3d.számú melléklet'!C16+'3e.számú melléklet'!C16+'3f.számú melléklet'!C16+'3g.számú melléklet'!C16+'3h.számú melléklet'!C16)</f>
        <v>2295588</v>
      </c>
      <c r="D16" s="498">
        <f>SUM('3a.számú melléklet'!D16+'3b.számú melléklet'!D16+'3c.számú melléklet'!D16+'3d.számú melléklet'!D16+'3e.számú melléklet'!D16+'3f.számú melléklet'!D16+'3g.számú melléklet'!D16+'3h.számú melléklet'!D16)</f>
        <v>2009617</v>
      </c>
      <c r="E16" s="498">
        <f>SUM('3a.számú melléklet'!E16+'3b.számú melléklet'!E16+'3c.számú melléklet'!E16+'3d.számú melléklet'!E16+'3e.számú melléklet'!E16+'3f.számú melléklet'!E16+'3g.számú melléklet'!E16+'3h.számú melléklet'!E16)</f>
        <v>2244781</v>
      </c>
      <c r="F16" s="28">
        <f>SUM('3a.számú melléklet'!F16+'3b.számú melléklet'!F16+'3c.számú melléklet'!F16+'3d.számú melléklet'!F16+'3e.számú melléklet'!F16+'3f.számú melléklet'!F16+'3g.számú melléklet'!F16+'3h.számú melléklet'!F16)</f>
        <v>2085184</v>
      </c>
      <c r="G16" s="648">
        <f t="shared" si="0"/>
        <v>1.0376026874772655</v>
      </c>
      <c r="H16" s="648">
        <f t="shared" si="1"/>
        <v>0.9289030867599111</v>
      </c>
    </row>
    <row r="17" spans="1:8" s="7" customFormat="1" ht="23.25" customHeight="1">
      <c r="A17" s="199" t="s">
        <v>729</v>
      </c>
      <c r="B17" s="460" t="s">
        <v>195</v>
      </c>
      <c r="C17" s="28">
        <f>SUM('3a.számú melléklet'!C17+'3b.számú melléklet'!C17+'3c.számú melléklet'!C17+'3d.számú melléklet'!C17+'3e.számú melléklet'!C17+'3f.számú melléklet'!C17+'3g.számú melléklet'!C17+'3h.számú melléklet'!C17)</f>
        <v>4718</v>
      </c>
      <c r="D17" s="28">
        <f>SUM('3a.számú melléklet'!D17+'3b.számú melléklet'!D17+'3c.számú melléklet'!D17+'3d.számú melléklet'!D17+'3e.számú melléklet'!D17+'3f.számú melléklet'!D17+'3g.számú melléklet'!D17+'3h.számú melléklet'!D17)</f>
        <v>8118</v>
      </c>
      <c r="E17" s="28">
        <f>SUM('3a.számú melléklet'!E17+'3b.számú melléklet'!E17+'3c.számú melléklet'!E17+'3d.számú melléklet'!E17+'3e.számú melléklet'!E17+'3f.számú melléklet'!E17+'3g.számú melléklet'!E17+'3h.számú melléklet'!E17)</f>
        <v>123557</v>
      </c>
      <c r="F17" s="28">
        <f>SUM('3a.számú melléklet'!F17+'3b.számú melléklet'!F17+'3c.számú melléklet'!F17+'3d.számú melléklet'!F17+'3e.számú melléklet'!F17+'3f.számú melléklet'!F17+'3g.számú melléklet'!F17+'3h.számú melléklet'!F17)</f>
        <v>1179</v>
      </c>
      <c r="G17" s="547">
        <f t="shared" si="0"/>
        <v>0.14523281596452328</v>
      </c>
      <c r="H17" s="547">
        <f t="shared" si="1"/>
        <v>0.009542154633084325</v>
      </c>
    </row>
    <row r="18" spans="1:8" s="7" customFormat="1" ht="12" customHeight="1">
      <c r="A18" s="583"/>
      <c r="B18" s="965" t="s">
        <v>405</v>
      </c>
      <c r="C18" s="499">
        <f>SUM('3a.számú melléklet'!C18+'3b.számú melléklet'!C18+'3c.számú melléklet'!C18+'3d.számú melléklet'!C18+'3e.számú melléklet'!C18+'3f.számú melléklet'!C18+'3g.számú melléklet'!C18+'3h.számú melléklet'!C18)</f>
        <v>0</v>
      </c>
      <c r="D18" s="499">
        <f>SUM('3a.számú melléklet'!D18+'3b.számú melléklet'!D18+'3c.számú melléklet'!D18+'3d.számú melléklet'!D18+'3e.számú melléklet'!D18+'3f.számú melléklet'!D18+'3g.számú melléklet'!D18+'3h.számú melléklet'!D18)</f>
        <v>0</v>
      </c>
      <c r="E18" s="499">
        <f>SUM('3a.számú melléklet'!E18+'3b.számú melléklet'!E18+'3c.számú melléklet'!E18+'3d.számú melléklet'!E18+'3e.számú melléklet'!E18+'3f.számú melléklet'!E18+'3g.számú melléklet'!E18+'3h.számú melléklet'!E18)</f>
        <v>117232</v>
      </c>
      <c r="F18" s="504">
        <f>SUM('3a.számú melléklet'!F18+'3b.számú melléklet'!F18+'3c.számú melléklet'!F18+'3d.számú melléklet'!F18+'3e.számú melléklet'!F18+'3f.számú melléklet'!F18+'3g.számú melléklet'!F18+'3h.számú melléklet'!F18)</f>
        <v>0</v>
      </c>
      <c r="G18" s="517">
        <f t="shared" si="0"/>
        <v>0</v>
      </c>
      <c r="H18" s="517">
        <f t="shared" si="1"/>
        <v>0</v>
      </c>
    </row>
    <row r="19" spans="1:8" s="7" customFormat="1" ht="12" customHeight="1">
      <c r="A19" s="581"/>
      <c r="B19" s="968" t="s">
        <v>447</v>
      </c>
      <c r="C19" s="500">
        <f>SUM('3a.számú melléklet'!C19+'3b.számú melléklet'!C19+'3c.számú melléklet'!C19+'3d.számú melléklet'!C19+'3e.számú melléklet'!C19+'3f.számú melléklet'!C19+'3g.számú melléklet'!C19+'3h.számú melléklet'!C19)</f>
        <v>0</v>
      </c>
      <c r="D19" s="500">
        <f>SUM('3a.számú melléklet'!D19+'3b.számú melléklet'!D19+'3c.számú melléklet'!D19+'3d.számú melléklet'!D19+'3e.számú melléklet'!D19+'3f.számú melléklet'!D19+'3g.számú melléklet'!D19+'3h.számú melléklet'!D19)</f>
        <v>0</v>
      </c>
      <c r="E19" s="500">
        <f>SUM('3a.számú melléklet'!E19+'3b.számú melléklet'!E19+'3c.számú melléklet'!E19+'3d.számú melléklet'!E19+'3e.számú melléklet'!E19+'3f.számú melléklet'!E19+'3g.számú melléklet'!E19+'3h.számú melléklet'!E19)</f>
        <v>17216</v>
      </c>
      <c r="F19" s="505">
        <f>SUM('3a.számú melléklet'!F19+'3b.számú melléklet'!F19+'3c.számú melléklet'!F19+'3d.számú melléklet'!F19+'3e.számú melléklet'!F19+'3f.számú melléklet'!F19+'3g.számú melléklet'!F19+'3h.számú melléklet'!F19)</f>
        <v>0</v>
      </c>
      <c r="G19" s="970">
        <f>IF(D19=0,0,F19/D19)</f>
        <v>0</v>
      </c>
      <c r="H19" s="970">
        <f>IF(E19=0,0,F19/E19)</f>
        <v>0</v>
      </c>
    </row>
    <row r="20" spans="1:8" s="7" customFormat="1" ht="24" customHeight="1">
      <c r="A20" s="199"/>
      <c r="B20" s="972" t="s">
        <v>406</v>
      </c>
      <c r="C20" s="498">
        <f>SUM('3a.számú melléklet'!C20+'3b.számú melléklet'!C20+'3c.számú melléklet'!C20+'3d.számú melléklet'!C20+'3e.számú melléklet'!C20+'3f.számú melléklet'!C20+'3g.számú melléklet'!C20+'3h.számú melléklet'!C20)</f>
        <v>4718</v>
      </c>
      <c r="D20" s="498">
        <f>SUM('3a.számú melléklet'!D20+'3b.számú melléklet'!D20+'3c.számú melléklet'!D20+'3d.számú melléklet'!D20+'3e.számú melléklet'!D20+'3f.számú melléklet'!D20+'3g.számú melléklet'!D20+'3h.számú melléklet'!D20)</f>
        <v>8118</v>
      </c>
      <c r="E20" s="498">
        <f>SUM('3a.számú melléklet'!E20+'3b.számú melléklet'!E20+'3c.számú melléklet'!E20+'3d.számú melléklet'!E20+'3e.számú melléklet'!E20+'3f.számú melléklet'!E20+'3g.számú melléklet'!E20+'3h.számú melléklet'!E20)</f>
        <v>6325</v>
      </c>
      <c r="F20" s="28">
        <f>SUM('3a.számú melléklet'!F20+'3b.számú melléklet'!F20+'3c.számú melléklet'!F20+'3d.számú melléklet'!F20+'3e.számú melléklet'!F20+'3f.számú melléklet'!F20+'3g.számú melléklet'!F20+'3h.számú melléklet'!F20)</f>
        <v>1179</v>
      </c>
      <c r="G20" s="648">
        <f t="shared" si="0"/>
        <v>0.14523281596452328</v>
      </c>
      <c r="H20" s="648">
        <f t="shared" si="1"/>
        <v>0.18640316205533597</v>
      </c>
    </row>
    <row r="21" spans="1:8" s="7" customFormat="1" ht="12" customHeight="1">
      <c r="A21" s="199" t="s">
        <v>730</v>
      </c>
      <c r="B21" s="449" t="s">
        <v>185</v>
      </c>
      <c r="C21" s="498">
        <f>SUM('3a.számú melléklet'!C21+'3b.számú melléklet'!C21+'3c.számú melléklet'!C21+'3d.számú melléklet'!C21+'3e.számú melléklet'!C21+'3f.számú melléklet'!C21+'3g.számú melléklet'!C21+'3h.számú melléklet'!C21)</f>
        <v>3680</v>
      </c>
      <c r="D21" s="498">
        <f>SUM('3a.számú melléklet'!D21+'3b.számú melléklet'!D21+'3c.számú melléklet'!D21+'3d.számú melléklet'!D21+'3e.számú melléklet'!D21+'3f.számú melléklet'!D21+'3g.számú melléklet'!D21+'3h.számú melléklet'!D21)</f>
        <v>0</v>
      </c>
      <c r="E21" s="498">
        <f>SUM('3a.számú melléklet'!E21+'3b.számú melléklet'!E21+'3c.számú melléklet'!E21+'3d.számú melléklet'!E21+'3e.számú melléklet'!E21+'3f.számú melléklet'!E21+'3g.számú melléklet'!E21+'3h.számú melléklet'!E21)</f>
        <v>742</v>
      </c>
      <c r="F21" s="28">
        <f>SUM('3a.számú melléklet'!F21+'3b.számú melléklet'!F21+'3c.számú melléklet'!F21+'3d.számú melléklet'!F21+'3e.számú melléklet'!F21+'3f.számú melléklet'!F21+'3g.számú melléklet'!F21+'3h.számú melléklet'!F21)</f>
        <v>0</v>
      </c>
      <c r="G21" s="648">
        <f t="shared" si="0"/>
        <v>0</v>
      </c>
      <c r="H21" s="648">
        <f t="shared" si="1"/>
        <v>0</v>
      </c>
    </row>
    <row r="22" spans="1:8" s="7" customFormat="1" ht="12" customHeight="1">
      <c r="A22" s="199" t="s">
        <v>731</v>
      </c>
      <c r="B22" s="449" t="s">
        <v>83</v>
      </c>
      <c r="C22" s="498">
        <f>SUM('3a.számú melléklet'!C22+'3b.számú melléklet'!C22+'3c.számú melléklet'!C22+'3d.számú melléklet'!C22+'3e.számú melléklet'!C22+'3f.számú melléklet'!C22+'3g.számú melléklet'!C22+'3h.számú melléklet'!C22)</f>
        <v>0</v>
      </c>
      <c r="D22" s="498">
        <f>SUM('3a.számú melléklet'!D22+'3b.számú melléklet'!D22+'3c.számú melléklet'!D22+'3d.számú melléklet'!D22+'3e.számú melléklet'!D22+'3f.számú melléklet'!D22+'3g.számú melléklet'!D22+'3h.számú melléklet'!D22)</f>
        <v>0</v>
      </c>
      <c r="E22" s="498">
        <f>SUM('3a.számú melléklet'!E22+'3b.számú melléklet'!E22+'3c.számú melléklet'!E22+'3d.számú melléklet'!E22+'3e.számú melléklet'!E22+'3f.számú melléklet'!E22+'3g.számú melléklet'!E22+'3h.számú melléklet'!E22)</f>
        <v>0</v>
      </c>
      <c r="F22" s="28">
        <f>SUM('3a.számú melléklet'!F22+'3b.számú melléklet'!F22+'3c.számú melléklet'!F22+'3d.számú melléklet'!F22+'3e.számú melléklet'!F22+'3f.számú melléklet'!F22+'3g.számú melléklet'!F22+'3h.számú melléklet'!F22)</f>
        <v>0</v>
      </c>
      <c r="G22" s="648">
        <f>IF(D22=0,0,F22/D22)</f>
        <v>0</v>
      </c>
      <c r="H22" s="648">
        <f>IF(E22=0,0,F22/E22)</f>
        <v>0</v>
      </c>
    </row>
    <row r="23" spans="1:8" s="536" customFormat="1" ht="13.5">
      <c r="A23" s="531" t="s">
        <v>805</v>
      </c>
      <c r="B23" s="532" t="s">
        <v>317</v>
      </c>
      <c r="C23" s="397">
        <f>SUM('3a.számú melléklet'!C23+'3b.számú melléklet'!C23+'3c.számú melléklet'!C23+'3d.számú melléklet'!C23+'3e.számú melléklet'!C23+'3f.számú melléklet'!C23+'3g.számú melléklet'!C23+'3h.számú melléklet'!C23)</f>
        <v>8752600</v>
      </c>
      <c r="D23" s="397">
        <f>SUM('3a.számú melléklet'!D23+'3b.számú melléklet'!D23+'3c.számú melléklet'!D23+'3d.számú melléklet'!D23+'3e.számú melléklet'!D23+'3f.számú melléklet'!D23+'3g.számú melléklet'!D23+'3h.számú melléklet'!D23)</f>
        <v>8797202</v>
      </c>
      <c r="E23" s="397">
        <f>SUM('3a.számú melléklet'!E23+'3b.számú melléklet'!E23+'3c.számú melléklet'!E23+'3d.számú melléklet'!E23+'3e.számú melléklet'!E23+'3f.számú melléklet'!E23+'3g.számú melléklet'!E23+'3h.számú melléklet'!E23)</f>
        <v>9206171</v>
      </c>
      <c r="F23" s="397">
        <f>SUM('3a.számú melléklet'!F23+'3b.számú melléklet'!F23+'3c.számú melléklet'!F23+'3d.számú melléklet'!F23+'3e.számú melléklet'!F23+'3f.számú melléklet'!F23+'3g.számú melléklet'!F23+'3h.számú melléklet'!F23)</f>
        <v>8766665</v>
      </c>
      <c r="G23" s="502">
        <f t="shared" si="0"/>
        <v>0.9965287826743094</v>
      </c>
      <c r="H23" s="502">
        <f t="shared" si="1"/>
        <v>0.952259631067031</v>
      </c>
    </row>
    <row r="24" spans="1:8" s="7" customFormat="1" ht="12" customHeight="1">
      <c r="A24" s="199" t="s">
        <v>732</v>
      </c>
      <c r="B24" s="449" t="s">
        <v>200</v>
      </c>
      <c r="C24" s="498">
        <f>SUM('3a.számú melléklet'!C24+'3b.számú melléklet'!C24+'3c.számú melléklet'!C24+'3d.számú melléklet'!C24+'3e.számú melléklet'!C24+'3f.számú melléklet'!C24+'3g.számú melléklet'!C24+'3h.számú melléklet'!C24)</f>
        <v>286874</v>
      </c>
      <c r="D24" s="498">
        <f>SUM('3a.számú melléklet'!D24+'3b.számú melléklet'!D24+'3c.számú melléklet'!D24+'3d.számú melléklet'!D24+'3e.számú melléklet'!D24+'3f.számú melléklet'!D24+'3g.számú melléklet'!D24+'3h.számú melléklet'!D24)</f>
        <v>9000</v>
      </c>
      <c r="E24" s="498">
        <f>SUM('3a.számú melléklet'!E24+'3b.számú melléklet'!E24+'3c.számú melléklet'!E24+'3d.számú melléklet'!E24+'3e.számú melléklet'!E24+'3f.számú melléklet'!E24+'3g.számú melléklet'!E24+'3h.számú melléklet'!E24)</f>
        <v>537444</v>
      </c>
      <c r="F24" s="28">
        <f>SUM('3a.számú melléklet'!F24+'3b.számú melléklet'!F24+'3c.számú melléklet'!F24+'3d.számú melléklet'!F24+'3e.számú melléklet'!F24+'3f.számú melléklet'!F24+'3g.számú melléklet'!F24+'3h.számú melléklet'!F24)</f>
        <v>14000</v>
      </c>
      <c r="G24" s="648">
        <f t="shared" si="0"/>
        <v>1.5555555555555556</v>
      </c>
      <c r="H24" s="648">
        <f t="shared" si="1"/>
        <v>0.026049225593736278</v>
      </c>
    </row>
    <row r="25" spans="1:8" s="7" customFormat="1" ht="12" customHeight="1">
      <c r="A25" s="199" t="s">
        <v>733</v>
      </c>
      <c r="B25" s="449" t="s">
        <v>203</v>
      </c>
      <c r="C25" s="498">
        <f>SUM('3a.számú melléklet'!C25+'3b.számú melléklet'!C25+'3c.számú melléklet'!C25+'3d.számú melléklet'!C25+'3e.számú melléklet'!C25+'3f.számú melléklet'!C25+'3g.számú melléklet'!C25+'3h.számú melléklet'!C25)</f>
        <v>83990</v>
      </c>
      <c r="D25" s="498">
        <f>SUM('3a.számú melléklet'!D25+'3b.számú melléklet'!D25+'3c.számú melléklet'!D25+'3d.számú melléklet'!D25+'3e.számú melléklet'!D25+'3f.számú melléklet'!D25+'3g.számú melléklet'!D25+'3h.számú melléklet'!D25)</f>
        <v>0</v>
      </c>
      <c r="E25" s="498">
        <f>SUM('3a.számú melléklet'!E25+'3b.számú melléklet'!E25+'3c.számú melléklet'!E25+'3d.számú melléklet'!E25+'3e.számú melléklet'!E25+'3f.számú melléklet'!E25+'3g.számú melléklet'!E25+'3h.számú melléklet'!E25)</f>
        <v>99226</v>
      </c>
      <c r="F25" s="28">
        <f>SUM('3a.számú melléklet'!F25+'3b.számú melléklet'!F25+'3c.számú melléklet'!F25+'3d.számú melléklet'!F25+'3e.számú melléklet'!F25+'3f.számú melléklet'!F25+'3g.számú melléklet'!F25+'3h.számú melléklet'!F25)</f>
        <v>0</v>
      </c>
      <c r="G25" s="648">
        <f t="shared" si="0"/>
        <v>0</v>
      </c>
      <c r="H25" s="648">
        <f t="shared" si="1"/>
        <v>0</v>
      </c>
    </row>
    <row r="26" spans="1:8" s="7" customFormat="1" ht="24.75" customHeight="1">
      <c r="A26" s="199" t="s">
        <v>734</v>
      </c>
      <c r="B26" s="460" t="s">
        <v>196</v>
      </c>
      <c r="C26" s="28">
        <f>SUM('3a.számú melléklet'!C26+'3b.számú melléklet'!C26+'3c.számú melléklet'!C26+'3d.számú melléklet'!C26+'3e.számú melléklet'!C26+'3f.számú melléklet'!C26+'3g.számú melléklet'!C26+'3h.számú melléklet'!C26)</f>
        <v>0</v>
      </c>
      <c r="D26" s="28">
        <f>SUM('3a.számú melléklet'!D26+'3b.számú melléklet'!D26+'3c.számú melléklet'!D26+'3d.számú melléklet'!D26+'3e.számú melléklet'!D26+'3f.számú melléklet'!D26+'3g.számú melléklet'!D26+'3h.számú melléklet'!D26)</f>
        <v>0</v>
      </c>
      <c r="E26" s="28">
        <f>SUM('3a.számú melléklet'!E26+'3b.számú melléklet'!E26+'3c.számú melléklet'!E26+'3d.számú melléklet'!E26+'3e.számú melléklet'!E26+'3f.számú melléklet'!E26+'3g.számú melléklet'!E26+'3h.számú melléklet'!E26)</f>
        <v>70358</v>
      </c>
      <c r="F26" s="28">
        <f>SUM('3a.számú melléklet'!F26+'3b.számú melléklet'!F26+'3c.számú melléklet'!F26+'3d.számú melléklet'!F26+'3e.számú melléklet'!F26+'3f.számú melléklet'!F26+'3g.számú melléklet'!F26+'3h.számú melléklet'!F26)</f>
        <v>0</v>
      </c>
      <c r="G26" s="547">
        <f t="shared" si="0"/>
        <v>0</v>
      </c>
      <c r="H26" s="547">
        <f t="shared" si="1"/>
        <v>0</v>
      </c>
    </row>
    <row r="27" spans="1:8" s="7" customFormat="1" ht="12" customHeight="1" hidden="1">
      <c r="A27" s="199"/>
      <c r="B27" s="446"/>
      <c r="C27" s="498">
        <f>SUM('3a.számú melléklet'!C27+'3b.számú melléklet'!C27+'3c.számú melléklet'!C27+'3d.számú melléklet'!C27+'3e.számú melléklet'!C27+'3f.számú melléklet'!C27+'3g.számú melléklet'!C27+'3h.számú melléklet'!C27)</f>
        <v>0</v>
      </c>
      <c r="D27" s="498">
        <f>SUM('3a.számú melléklet'!D27+'3b.számú melléklet'!D27+'3c.számú melléklet'!D27+'3d.számú melléklet'!D27+'3e.számú melléklet'!D27+'3f.számú melléklet'!D27+'3g.számú melléklet'!D27+'3h.számú melléklet'!D27)</f>
        <v>0</v>
      </c>
      <c r="E27" s="498">
        <f>SUM('3a.számú melléklet'!E27+'3b.számú melléklet'!E27+'3c.számú melléklet'!E27+'3d.számú melléklet'!E27+'3e.számú melléklet'!E27+'3f.számú melléklet'!E27+'3g.számú melléklet'!E27+'3h.számú melléklet'!E27)</f>
        <v>0</v>
      </c>
      <c r="F27" s="28">
        <f>SUM('3a.számú melléklet'!F27+'3b.számú melléklet'!F27+'3c.számú melléklet'!F27+'3d.számú melléklet'!F27+'3e.számú melléklet'!F27+'3f.számú melléklet'!F27+'3g.számú melléklet'!F27+'3h.számú melléklet'!F27)</f>
        <v>0</v>
      </c>
      <c r="G27" s="648">
        <f t="shared" si="0"/>
        <v>0</v>
      </c>
      <c r="H27" s="648">
        <f t="shared" si="1"/>
        <v>0</v>
      </c>
    </row>
    <row r="28" spans="1:8" s="7" customFormat="1" ht="11.25" customHeight="1">
      <c r="A28" s="583"/>
      <c r="B28" s="965" t="s">
        <v>407</v>
      </c>
      <c r="C28" s="499">
        <f>SUM('3a.számú melléklet'!C28+'3b.számú melléklet'!C28+'3c.számú melléklet'!C28+'3d.számú melléklet'!C28+'3e.számú melléklet'!C28+'3f.számú melléklet'!C28+'3g.számú melléklet'!C28+'3h.számú melléklet'!C28)</f>
        <v>0</v>
      </c>
      <c r="D28" s="499">
        <f>SUM('3a.számú melléklet'!D28+'3b.számú melléklet'!D28+'3c.számú melléklet'!D28+'3d.számú melléklet'!D28+'3e.számú melléklet'!D28+'3f.számú melléklet'!D28+'3g.számú melléklet'!D28+'3h.számú melléklet'!D28)</f>
        <v>0</v>
      </c>
      <c r="E28" s="499">
        <f>SUM('3a.számú melléklet'!E28+'3b.számú melléklet'!E28+'3c.számú melléklet'!E28+'3d.számú melléklet'!E28+'3e.számú melléklet'!E28+'3f.számú melléklet'!E28+'3g.számú melléklet'!E28+'3h.számú melléklet'!E28)</f>
        <v>70358</v>
      </c>
      <c r="F28" s="504">
        <f>SUM('3a.számú melléklet'!F28+'3b.számú melléklet'!F28+'3c.számú melléklet'!F28+'3d.számú melléklet'!F28+'3e.számú melléklet'!F28+'3f.számú melléklet'!F28+'3g.számú melléklet'!F28+'3h.számú melléklet'!F28)</f>
        <v>0</v>
      </c>
      <c r="G28" s="517">
        <f t="shared" si="0"/>
        <v>0</v>
      </c>
      <c r="H28" s="517">
        <f t="shared" si="1"/>
        <v>0</v>
      </c>
    </row>
    <row r="29" spans="1:8" s="7" customFormat="1" ht="11.25" customHeight="1">
      <c r="A29" s="581"/>
      <c r="B29" s="968" t="s">
        <v>447</v>
      </c>
      <c r="C29" s="500">
        <f>SUM('3a.számú melléklet'!C29+'3b.számú melléklet'!C29+'3c.számú melléklet'!C29+'3d.számú melléklet'!C29+'3e.számú melléklet'!C29+'3f.számú melléklet'!C29+'3g.számú melléklet'!C29+'3h.számú melléklet'!C29)</f>
        <v>0</v>
      </c>
      <c r="D29" s="500">
        <f>SUM('3a.számú melléklet'!D29+'3b.számú melléklet'!D29+'3c.számú melléklet'!D29+'3d.számú melléklet'!D29+'3e.számú melléklet'!D29+'3f.számú melléklet'!D29+'3g.számú melléklet'!D29+'3h.számú melléklet'!D29)</f>
        <v>0</v>
      </c>
      <c r="E29" s="500">
        <f>SUM('3a.számú melléklet'!E29+'3b.számú melléklet'!E29+'3c.számú melléklet'!E29+'3d.számú melléklet'!E29+'3e.számú melléklet'!E29+'3f.számú melléklet'!E29+'3g.számú melléklet'!E29+'3h.számú melléklet'!E29)</f>
        <v>69498</v>
      </c>
      <c r="F29" s="505">
        <f>SUM('3a.számú melléklet'!F29+'3b.számú melléklet'!F29+'3c.számú melléklet'!F29+'3d.számú melléklet'!F29+'3e.számú melléklet'!F29+'3f.számú melléklet'!F29+'3g.számú melléklet'!F29+'3h.számú melléklet'!F29)</f>
        <v>0</v>
      </c>
      <c r="G29" s="970">
        <f>IF(D29=0,0,F29/D29)</f>
        <v>0</v>
      </c>
      <c r="H29" s="970">
        <f>IF(E29=0,0,F29/E29)</f>
        <v>0</v>
      </c>
    </row>
    <row r="30" spans="1:8" s="7" customFormat="1" ht="24" customHeight="1">
      <c r="A30" s="199"/>
      <c r="B30" s="972" t="s">
        <v>408</v>
      </c>
      <c r="C30" s="498">
        <f>SUM('3a.számú melléklet'!C30+'3b.számú melléklet'!C30+'3c.számú melléklet'!C30+'3d.számú melléklet'!C30+'3e.számú melléklet'!C30+'3f.számú melléklet'!C30+'3g.számú melléklet'!C30+'3h.számú melléklet'!C30)</f>
        <v>0</v>
      </c>
      <c r="D30" s="498">
        <f>SUM('3a.számú melléklet'!D30+'3b.számú melléklet'!D30+'3c.számú melléklet'!D30+'3d.számú melléklet'!D30+'3e.számú melléklet'!D30+'3f.számú melléklet'!D30+'3g.számú melléklet'!D30+'3h.számú melléklet'!D30)</f>
        <v>0</v>
      </c>
      <c r="E30" s="498">
        <f>SUM('3a.számú melléklet'!E30+'3b.számú melléklet'!E30+'3c.számú melléklet'!E30+'3d.számú melléklet'!E30+'3e.számú melléklet'!E30+'3f.számú melléklet'!E30+'3g.számú melléklet'!E30+'3h.számú melléklet'!E30)</f>
        <v>0</v>
      </c>
      <c r="F30" s="28">
        <f>SUM('3a.számú melléklet'!F30+'3b.számú melléklet'!F30+'3c.számú melléklet'!F30+'3d.számú melléklet'!F30+'3e.számú melléklet'!F30+'3f.számú melléklet'!F30+'3g.számú melléklet'!F30+'3h.számú melléklet'!F30)</f>
        <v>0</v>
      </c>
      <c r="G30" s="648">
        <f t="shared" si="0"/>
        <v>0</v>
      </c>
      <c r="H30" s="648">
        <f t="shared" si="1"/>
        <v>0</v>
      </c>
    </row>
    <row r="31" spans="1:8" s="533" customFormat="1" ht="12" customHeight="1">
      <c r="A31" s="531" t="s">
        <v>327</v>
      </c>
      <c r="B31" s="532" t="s">
        <v>318</v>
      </c>
      <c r="C31" s="397">
        <f>SUM('3a.számú melléklet'!C31+'3b.számú melléklet'!C31+'3c.számú melléklet'!C31+'3d.számú melléklet'!C31+'3e.számú melléklet'!C31+'3f.számú melléklet'!C31+'3g.számú melléklet'!C31+'3h.számú melléklet'!C31)</f>
        <v>370864</v>
      </c>
      <c r="D31" s="397">
        <f>SUM('3a.számú melléklet'!D31+'3b.számú melléklet'!D31+'3c.számú melléklet'!D31+'3d.számú melléklet'!D31+'3e.számú melléklet'!D31+'3f.számú melléklet'!D31+'3g.számú melléklet'!D31+'3h.számú melléklet'!D31)</f>
        <v>9000</v>
      </c>
      <c r="E31" s="397">
        <f>SUM('3a.számú melléklet'!E31+'3b.számú melléklet'!E31+'3c.számú melléklet'!E31+'3d.számú melléklet'!E31+'3e.számú melléklet'!E31+'3f.számú melléklet'!E31+'3g.számú melléklet'!E31+'3h.számú melléklet'!E31)</f>
        <v>707028</v>
      </c>
      <c r="F31" s="397">
        <f>SUM('3a.számú melléklet'!F31+'3b.számú melléklet'!F31+'3c.számú melléklet'!F31+'3d.számú melléklet'!F31+'3e.számú melléklet'!F31+'3f.számú melléklet'!F31+'3g.számú melléklet'!F31+'3h.számú melléklet'!F31)</f>
        <v>14000</v>
      </c>
      <c r="G31" s="502">
        <f t="shared" si="0"/>
        <v>1.5555555555555556</v>
      </c>
      <c r="H31" s="502">
        <f t="shared" si="1"/>
        <v>0.01980119599223793</v>
      </c>
    </row>
    <row r="32" spans="1:8" s="533" customFormat="1" ht="12" customHeight="1">
      <c r="A32" s="531"/>
      <c r="B32" s="532" t="s">
        <v>677</v>
      </c>
      <c r="C32" s="397">
        <f>SUM('3a.számú melléklet'!C32+'3b.számú melléklet'!C32+'3c.számú melléklet'!C32+'3d.számú melléklet'!C32+'3e.számú melléklet'!C32+'3f.számú melléklet'!C32+'3g.számú melléklet'!C32+'3h.számú melléklet'!C32)</f>
        <v>9123464</v>
      </c>
      <c r="D32" s="397">
        <f>SUM('3a.számú melléklet'!D32+'3b.számú melléklet'!D32+'3c.számú melléklet'!D32+'3d.számú melléklet'!D32+'3e.számú melléklet'!D32+'3f.számú melléklet'!D32+'3g.számú melléklet'!D32+'3h.számú melléklet'!D32)</f>
        <v>8806202</v>
      </c>
      <c r="E32" s="397">
        <f>SUM('3a.számú melléklet'!E32+'3b.számú melléklet'!E32+'3c.számú melléklet'!E32+'3d.számú melléklet'!E32+'3e.számú melléklet'!E32+'3f.számú melléklet'!E32+'3g.számú melléklet'!E32+'3h.számú melléklet'!E32)</f>
        <v>9913199</v>
      </c>
      <c r="F32" s="397">
        <f>SUM('3a.számú melléklet'!F32+'3b.számú melléklet'!F32+'3c.számú melléklet'!F32+'3d.számú melléklet'!F32+'3e.számú melléklet'!F32+'3f.számú melléklet'!F32+'3g.számú melléklet'!F32+'3h.számú melléklet'!F32)</f>
        <v>8780665</v>
      </c>
      <c r="G32" s="502">
        <f t="shared" si="0"/>
        <v>0.9971001119438323</v>
      </c>
      <c r="H32" s="502">
        <f t="shared" si="1"/>
        <v>0.8857549414674315</v>
      </c>
    </row>
    <row r="33" spans="1:8" s="533" customFormat="1" ht="12" customHeight="1">
      <c r="A33" s="531"/>
      <c r="B33" s="532" t="s">
        <v>319</v>
      </c>
      <c r="C33" s="498"/>
      <c r="D33" s="498"/>
      <c r="E33" s="498"/>
      <c r="F33" s="28"/>
      <c r="G33" s="648"/>
      <c r="H33" s="648"/>
    </row>
    <row r="34" spans="1:8" s="533" customFormat="1" ht="11.25" customHeight="1">
      <c r="A34" s="199" t="s">
        <v>524</v>
      </c>
      <c r="B34" s="976" t="s">
        <v>400</v>
      </c>
      <c r="C34" s="498">
        <f>SUM('3a.számú melléklet'!C34+'3b.számú melléklet'!C34+'3c.számú melléklet'!C34+'3d.számú melléklet'!C34+'3e.számú melléklet'!C34+'3f.számú melléklet'!C34+'3g.számú melléklet'!C34+'3h.számú melléklet'!C34)</f>
        <v>0</v>
      </c>
      <c r="D34" s="498">
        <f>SUM('3a.számú melléklet'!D34+'3b.számú melléklet'!D34+'3c.számú melléklet'!D34+'3d.számú melléklet'!D34+'3e.számú melléklet'!D34+'3f.számú melléklet'!D34+'3g.számú melléklet'!D34+'3h.számú melléklet'!D34)</f>
        <v>0</v>
      </c>
      <c r="E34" s="498">
        <f>SUM('3a.számú melléklet'!E34+'3b.számú melléklet'!E34+'3c.számú melléklet'!E34+'3d.számú melléklet'!E34+'3e.számú melléklet'!E34+'3f.számú melléklet'!E34+'3g.számú melléklet'!E34+'3h.számú melléklet'!E34)</f>
        <v>0</v>
      </c>
      <c r="F34" s="28">
        <f>SUM('3a.számú melléklet'!F34+'3b.számú melléklet'!F34+'3c.számú melléklet'!F34+'3d.számú melléklet'!F34+'3e.számú melléklet'!F34+'3f.számú melléklet'!F34+'3g.számú melléklet'!F34+'3h.számú melléklet'!F34)</f>
        <v>0</v>
      </c>
      <c r="G34" s="648">
        <f t="shared" si="0"/>
        <v>0</v>
      </c>
      <c r="H34" s="648">
        <f t="shared" si="1"/>
        <v>0</v>
      </c>
    </row>
    <row r="35" spans="1:8" s="533" customFormat="1" ht="24" customHeight="1">
      <c r="A35" s="583" t="s">
        <v>525</v>
      </c>
      <c r="B35" s="978" t="s">
        <v>791</v>
      </c>
      <c r="C35" s="499">
        <f>SUM('3a.számú melléklet'!C35+'3b.számú melléklet'!C35+'3c.számú melléklet'!C35+'3d.számú melléklet'!C35+'3e.számú melléklet'!C35+'3f.számú melléklet'!C35+'3g.számú melléklet'!C35+'3h.számú melléklet'!C35)</f>
        <v>455593</v>
      </c>
      <c r="D35" s="499">
        <f>SUM('3a.számú melléklet'!D35+'3b.számú melléklet'!D35+'3c.számú melléklet'!D35+'3d.számú melléklet'!D35+'3e.számú melléklet'!D35+'3f.számú melléklet'!D35+'3g.számú melléklet'!D35+'3h.számú melléklet'!D35)</f>
        <v>411267</v>
      </c>
      <c r="E35" s="499">
        <f>SUM('3a.számú melléklet'!E35+'3b.számú melléklet'!E35+'3c.számú melléklet'!E35+'3d.számú melléklet'!E35+'3e.számú melléklet'!E35+'3f.számú melléklet'!E35+'3g.számú melléklet'!E35+'3h.számú melléklet'!E35)</f>
        <v>460828</v>
      </c>
      <c r="F35" s="504">
        <f>SUM('3a.számú melléklet'!F35+'3b.számú melléklet'!F35+'3c.számú melléklet'!F35+'3d.számú melléklet'!F35+'3e.számú melléklet'!F35+'3f.számú melléklet'!F35+'3g.számú melléklet'!F35+'3h.számú melléklet'!F35)</f>
        <v>434802</v>
      </c>
      <c r="G35" s="517">
        <f t="shared" si="0"/>
        <v>1.0572255979692025</v>
      </c>
      <c r="H35" s="517">
        <f t="shared" si="1"/>
        <v>0.9435233970158063</v>
      </c>
    </row>
    <row r="36" spans="1:8" s="533" customFormat="1" ht="12" customHeight="1">
      <c r="A36" s="581"/>
      <c r="B36" s="980" t="s">
        <v>396</v>
      </c>
      <c r="C36" s="500">
        <f>SUM('3a.számú melléklet'!C36+'3b.számú melléklet'!C36+'3c.számú melléklet'!C36+'3d.számú melléklet'!C36+'3e.számú melléklet'!C36+'3f.számú melléklet'!C36+'3g.számú melléklet'!C36+'3h.számú melléklet'!C36)</f>
        <v>3331</v>
      </c>
      <c r="D36" s="500">
        <f>SUM('3a.számú melléklet'!D36+'3b.számú melléklet'!D36+'3c.számú melléklet'!D36+'3d.számú melléklet'!D36+'3e.számú melléklet'!D36+'3f.számú melléklet'!D36+'3g.számú melléklet'!D36+'3h.számú melléklet'!D36)</f>
        <v>3530</v>
      </c>
      <c r="E36" s="500">
        <f>SUM('3a.számú melléklet'!E36+'3b.számú melléklet'!E36+'3c.számú melléklet'!E36+'3d.számú melléklet'!E36+'3e.számú melléklet'!E36+'3f.számú melléklet'!E36+'3g.számú melléklet'!E36+'3h.számú melléklet'!E36)</f>
        <v>4651</v>
      </c>
      <c r="F36" s="505">
        <f>SUM('3a.számú melléklet'!F36+'3b.számú melléklet'!F36+'3c.számú melléklet'!F36+'3d.számú melléklet'!F36+'3e.számú melléklet'!F36+'3f.számú melléklet'!F36+'3g.számú melléklet'!F36+'3h.számú melléklet'!F36)</f>
        <v>4700</v>
      </c>
      <c r="G36" s="970">
        <f t="shared" si="0"/>
        <v>1.3314447592067988</v>
      </c>
      <c r="H36" s="970">
        <f t="shared" si="1"/>
        <v>1.0105353687379057</v>
      </c>
    </row>
    <row r="37" spans="1:8" s="533" customFormat="1" ht="12" customHeight="1">
      <c r="A37" s="199" t="s">
        <v>526</v>
      </c>
      <c r="B37" s="36" t="s">
        <v>726</v>
      </c>
      <c r="C37" s="498">
        <f>SUM('3a.számú melléklet'!C37+'3b.számú melléklet'!C37+'3c.számú melléklet'!C37+'3d.számú melléklet'!C37+'3e.számú melléklet'!C37+'3f.számú melléklet'!C37+'3g.számú melléklet'!C37+'3h.számú melléklet'!C37)</f>
        <v>24223</v>
      </c>
      <c r="D37" s="498">
        <f>SUM('3a.számú melléklet'!D37+'3b.számú melléklet'!D37+'3c.számú melléklet'!D37+'3d.számú melléklet'!D37+'3e.számú melléklet'!D37+'3f.számú melléklet'!D37+'3g.számú melléklet'!D37+'3h.számú melléklet'!D37)</f>
        <v>24623</v>
      </c>
      <c r="E37" s="498">
        <f>SUM('3a.számú melléklet'!E37+'3b.számú melléklet'!E37+'3c.számú melléklet'!E37+'3d.számú melléklet'!E37+'3e.számú melléklet'!E37+'3f.számú melléklet'!E37+'3g.számú melléklet'!E37+'3h.számú melléklet'!E37)</f>
        <v>28548</v>
      </c>
      <c r="F37" s="505">
        <f>SUM('3a.számú melléklet'!F37+'3b.számú melléklet'!F37+'3c.számú melléklet'!F37+'3d.számú melléklet'!F37+'3e.számú melléklet'!F37+'3f.számú melléklet'!F37+'3g.számú melléklet'!F37+'3h.számú melléklet'!F37)</f>
        <v>27065</v>
      </c>
      <c r="G37" s="970">
        <f t="shared" si="0"/>
        <v>1.0991755675587864</v>
      </c>
      <c r="H37" s="970">
        <f t="shared" si="1"/>
        <v>0.9480524029704358</v>
      </c>
    </row>
    <row r="38" spans="1:8" s="533" customFormat="1" ht="12" customHeight="1">
      <c r="A38" s="199" t="s">
        <v>729</v>
      </c>
      <c r="B38" s="449" t="s">
        <v>607</v>
      </c>
      <c r="C38" s="498">
        <f>SUM('3a.számú melléklet'!C38+'3b.számú melléklet'!C38+'3c.számú melléklet'!C38+'3d.számú melléklet'!C38+'3e.számú melléklet'!C38+'3f.számú melléklet'!C38+'3g.számú melléklet'!C38+'3h.számú melléklet'!C38)</f>
        <v>353</v>
      </c>
      <c r="D38" s="498">
        <f>SUM('3a.számú melléklet'!D38+'3b.számú melléklet'!D38+'3c.számú melléklet'!D38+'3d.számú melléklet'!D38+'3e.számú melléklet'!D38+'3f.számú melléklet'!D38+'3g.számú melléklet'!D38+'3h.számú melléklet'!D38)</f>
        <v>588</v>
      </c>
      <c r="E38" s="498">
        <f>SUM('3a.számú melléklet'!E38+'3b.számú melléklet'!E38+'3c.számú melléklet'!E38+'3d.számú melléklet'!E38+'3e.számú melléklet'!E38+'3f.számú melléklet'!E38+'3g.számú melléklet'!E38+'3h.számú melléklet'!E38)</f>
        <v>365</v>
      </c>
      <c r="F38" s="28">
        <f>SUM('3a.számú melléklet'!F38+'3b.számú melléklet'!F38+'3c.számú melléklet'!F38+'3d.számú melléklet'!F38+'3e.számú melléklet'!F38+'3f.számú melléklet'!F38+'3g.számú melléklet'!F38+'3h.számú melléklet'!F38)</f>
        <v>358</v>
      </c>
      <c r="G38" s="648">
        <f t="shared" si="0"/>
        <v>0.608843537414966</v>
      </c>
      <c r="H38" s="648">
        <f t="shared" si="1"/>
        <v>0.9808219178082191</v>
      </c>
    </row>
    <row r="39" spans="1:8" s="533" customFormat="1" ht="12" customHeight="1">
      <c r="A39" s="199" t="s">
        <v>730</v>
      </c>
      <c r="B39" s="449" t="s">
        <v>349</v>
      </c>
      <c r="C39" s="498">
        <f>SUM('3a.számú melléklet'!C39+'3b.számú melléklet'!C39+'3c.számú melléklet'!C39+'3d.számú melléklet'!C39+'3e.számú melléklet'!C39+'3f.számú melléklet'!C39+'3g.számú melléklet'!C39+'3h.számú melléklet'!C39)</f>
        <v>54355</v>
      </c>
      <c r="D39" s="498">
        <f>SUM('3a.számú melléklet'!D39+'3b.számú melléklet'!D39+'3c.számú melléklet'!D39+'3d.számú melléklet'!D39+'3e.számú melléklet'!D39+'3f.számú melléklet'!D39+'3g.számú melléklet'!D39+'3h.számú melléklet'!D39)</f>
        <v>50924</v>
      </c>
      <c r="E39" s="498">
        <f>SUM('3a.számú melléklet'!E39+'3b.számú melléklet'!E39+'3c.számú melléklet'!E39+'3d.számú melléklet'!E39+'3e.számú melléklet'!E39+'3f.számú melléklet'!E39+'3g.számú melléklet'!E39+'3h.számú melléklet'!E39)</f>
        <v>63305</v>
      </c>
      <c r="F39" s="28">
        <f>SUM('3a.számú melléklet'!F39+'3b.számú melléklet'!F39+'3c.számú melléklet'!F39+'3d.számú melléklet'!F39+'3e.számú melléklet'!F39+'3f.számú melléklet'!F39+'3g.számú melléklet'!F39+'3h.számú melléklet'!F39)</f>
        <v>76014</v>
      </c>
      <c r="G39" s="648">
        <f t="shared" si="0"/>
        <v>1.492694996465321</v>
      </c>
      <c r="H39" s="648">
        <f t="shared" si="1"/>
        <v>1.2007582339467657</v>
      </c>
    </row>
    <row r="40" spans="1:8" s="533" customFormat="1" ht="25.5" customHeight="1">
      <c r="A40" s="583" t="s">
        <v>731</v>
      </c>
      <c r="B40" s="982" t="s">
        <v>192</v>
      </c>
      <c r="C40" s="499">
        <f>SUM('3a.számú melléklet'!C40+'3b.számú melléklet'!C40+'3c.számú melléklet'!C40+'3d.számú melléklet'!C40+'3e.számú melléklet'!C40+'3f.számú melléklet'!C40+'3g.számú melléklet'!C40+'3h.számú melléklet'!C40)</f>
        <v>1238150</v>
      </c>
      <c r="D40" s="499">
        <f>SUM('3a.számú melléklet'!D40+'3b.számú melléklet'!D40+'3c.számú melléklet'!D40+'3d.számú melléklet'!D40+'3e.számú melléklet'!D40+'3f.számú melléklet'!D40+'3g.számú melléklet'!D40+'3h.számú melléklet'!D40)</f>
        <v>790246</v>
      </c>
      <c r="E40" s="499">
        <f>SUM('3a.számú melléklet'!E40+'3b.számú melléklet'!E40+'3c.számú melléklet'!E40+'3d.számú melléklet'!E40+'3e.számú melléklet'!E40+'3f.számú melléklet'!E40+'3g.számú melléklet'!E40+'3h.számú melléklet'!E40)</f>
        <v>1235923</v>
      </c>
      <c r="F40" s="504">
        <f>SUM('3a.számú melléklet'!F40+'3b.számú melléklet'!F40+'3c.számú melléklet'!F40+'3d.számú melléklet'!F40+'3e.számú melléklet'!F40+'3f.számú melléklet'!F40+'3g.számú melléklet'!F40+'3h.számú melléklet'!F40)</f>
        <v>803064</v>
      </c>
      <c r="G40" s="517">
        <f t="shared" si="0"/>
        <v>1.016220265588184</v>
      </c>
      <c r="H40" s="517">
        <f t="shared" si="1"/>
        <v>0.6497686344537645</v>
      </c>
    </row>
    <row r="41" spans="1:8" s="533" customFormat="1" ht="12" customHeight="1">
      <c r="A41" s="581"/>
      <c r="B41" s="968" t="s">
        <v>447</v>
      </c>
      <c r="C41" s="500">
        <f>SUM('3a.számú melléklet'!C41+'3b.számú melléklet'!C41+'3c.számú melléklet'!C41+'3d.számú melléklet'!C41+'3e.számú melléklet'!C41+'3f.számú melléklet'!C41+'3g.számú melléklet'!C41+'3h.számú melléklet'!C41)</f>
        <v>0</v>
      </c>
      <c r="D41" s="500">
        <f>SUM('3a.számú melléklet'!D41+'3b.számú melléklet'!D41+'3c.számú melléklet'!D41+'3d.számú melléklet'!D41+'3e.számú melléklet'!D41+'3f.számú melléklet'!D41+'3g.számú melléklet'!D41+'3h.számú melléklet'!D41)</f>
        <v>0</v>
      </c>
      <c r="E41" s="500">
        <f>SUM('3a.számú melléklet'!E41+'3b.számú melléklet'!E41+'3c.számú melléklet'!E41+'3d.számú melléklet'!E41+'3e.számú melléklet'!E41+'3f.számú melléklet'!E41+'3g.számú melléklet'!E41+'3h.számú melléklet'!E41)</f>
        <v>408421</v>
      </c>
      <c r="F41" s="505">
        <f>SUM('3a.számú melléklet'!F41+'3b.számú melléklet'!F41+'3c.számú melléklet'!F41+'3d.számú melléklet'!F41+'3e.számú melléklet'!F41+'3f.számú melléklet'!F41+'3g.számú melléklet'!F41+'3h.számú melléklet'!F41)</f>
        <v>0</v>
      </c>
      <c r="G41" s="970">
        <f>IF(D41=0,0,F41/D41)</f>
        <v>0</v>
      </c>
      <c r="H41" s="970">
        <f>IF(E41=0,0,F41/E41)</f>
        <v>0</v>
      </c>
    </row>
    <row r="42" spans="1:8" s="533" customFormat="1" ht="24" customHeight="1">
      <c r="A42" s="199" t="s">
        <v>732</v>
      </c>
      <c r="B42" s="984" t="s">
        <v>625</v>
      </c>
      <c r="C42" s="498">
        <f>SUM('3a.számú melléklet'!C42+'3b.számú melléklet'!C42+'3c.számú melléklet'!C42+'3d.számú melléklet'!C42+'3e.számú melléklet'!C42+'3f.számú melléklet'!C42+'3g.számú melléklet'!C42+'3h.számú melléklet'!C42)</f>
        <v>14874</v>
      </c>
      <c r="D42" s="498">
        <f>SUM('3a.számú melléklet'!D42+'3b.számú melléklet'!D42+'3c.számú melléklet'!D42+'3d.számú melléklet'!D42+'3e.számú melléklet'!D42+'3f.számú melléklet'!D42+'3g.számú melléklet'!D42+'3h.számú melléklet'!D42)</f>
        <v>251</v>
      </c>
      <c r="E42" s="498">
        <f>SUM('3a.számú melléklet'!E42+'3b.számú melléklet'!E42+'3c.számú melléklet'!E42+'3d.számú melléklet'!E42+'3e.számú melléklet'!E42+'3f.számú melléklet'!E42+'3g.számú melléklet'!E42+'3h.számú melléklet'!E42)</f>
        <v>13650</v>
      </c>
      <c r="F42" s="28">
        <f>SUM('3a.számú melléklet'!F42+'3b.számú melléklet'!F42+'3c.számú melléklet'!F42+'3d.számú melléklet'!F42+'3e.számú melléklet'!F42+'3f.számú melléklet'!F42+'3g.számú melléklet'!F42+'3h.számú melléklet'!F42)</f>
        <v>258</v>
      </c>
      <c r="G42" s="648">
        <f t="shared" si="0"/>
        <v>1.0278884462151394</v>
      </c>
      <c r="H42" s="648">
        <f t="shared" si="1"/>
        <v>0.018901098901098902</v>
      </c>
    </row>
    <row r="43" spans="1:8" s="533" customFormat="1" ht="12" customHeight="1">
      <c r="A43" s="583" t="s">
        <v>733</v>
      </c>
      <c r="B43" s="982" t="s">
        <v>194</v>
      </c>
      <c r="C43" s="499">
        <f>SUM('3a.számú melléklet'!C43+'3b.számú melléklet'!C43+'3c.számú melléklet'!C43+'3d.számú melléklet'!C43+'3e.számú melléklet'!C43+'3f.számú melléklet'!C43+'3g.számú melléklet'!C43+'3h.számú melléklet'!C43)</f>
        <v>280</v>
      </c>
      <c r="D43" s="499">
        <f>SUM('3a.számú melléklet'!D43+'3b.számú melléklet'!D43+'3c.számú melléklet'!D43+'3d.számú melléklet'!D43+'3e.számú melléklet'!D43+'3f.számú melléklet'!D43+'3g.számú melléklet'!D43+'3h.számú melléklet'!D43)</f>
        <v>0</v>
      </c>
      <c r="E43" s="499">
        <f>SUM('3a.számú melléklet'!E43+'3b.számú melléklet'!E43+'3c.számú melléklet'!E43+'3d.számú melléklet'!E43+'3e.számú melléklet'!E43+'3f.számú melléklet'!E43+'3g.számú melléklet'!E43+'3h.számú melléklet'!E43)</f>
        <v>114272</v>
      </c>
      <c r="F43" s="504">
        <f>SUM('3a.számú melléklet'!F43+'3b.számú melléklet'!F43+'3c.számú melléklet'!F43+'3d.számú melléklet'!F43+'3e.számú melléklet'!F43+'3f.számú melléklet'!F43+'3g.számú melléklet'!F43+'3h.számú melléklet'!F43)</f>
        <v>0</v>
      </c>
      <c r="G43" s="517">
        <f t="shared" si="0"/>
        <v>0</v>
      </c>
      <c r="H43" s="517">
        <f t="shared" si="1"/>
        <v>0</v>
      </c>
    </row>
    <row r="44" spans="1:8" s="533" customFormat="1" ht="12" customHeight="1">
      <c r="A44" s="581"/>
      <c r="B44" s="968" t="s">
        <v>447</v>
      </c>
      <c r="C44" s="500">
        <f>SUM('3a.számú melléklet'!C44+'3b.számú melléklet'!C44+'3c.számú melléklet'!C44+'3d.számú melléklet'!C44+'3e.számú melléklet'!C44+'3f.számú melléklet'!C44+'3g.számú melléklet'!C44+'3h.számú melléklet'!C44)</f>
        <v>0</v>
      </c>
      <c r="D44" s="500">
        <f>SUM('3a.számú melléklet'!D44+'3b.számú melléklet'!D44+'3c.számú melléklet'!D44+'3d.számú melléklet'!D44+'3e.számú melléklet'!D44+'3f.számú melléklet'!D44+'3g.számú melléklet'!D44+'3h.számú melléklet'!D44)</f>
        <v>0</v>
      </c>
      <c r="E44" s="500">
        <f>SUM('3a.számú melléklet'!E44+'3b.számú melléklet'!E44+'3c.számú melléklet'!E44+'3d.számú melléklet'!E44+'3e.számú melléklet'!E44+'3f.számú melléklet'!E44+'3g.számú melléklet'!E44+'3h.számú melléklet'!E44)</f>
        <v>114272</v>
      </c>
      <c r="F44" s="505">
        <f>SUM('3a.számú melléklet'!F44+'3b.számú melléklet'!F44+'3c.számú melléklet'!F44+'3d.számú melléklet'!F44+'3e.számú melléklet'!F44+'3f.számú melléklet'!F44+'3g.számú melléklet'!F44+'3h.számú melléklet'!F44)</f>
        <v>0</v>
      </c>
      <c r="G44" s="970">
        <f>IF(D44=0,0,F44/D44)</f>
        <v>0</v>
      </c>
      <c r="H44" s="970">
        <f>IF(E44=0,0,F44/E44)</f>
        <v>0</v>
      </c>
    </row>
    <row r="45" spans="1:8" s="533" customFormat="1" ht="24" customHeight="1">
      <c r="A45" s="199" t="s">
        <v>734</v>
      </c>
      <c r="B45" s="984" t="s">
        <v>418</v>
      </c>
      <c r="C45" s="498">
        <f>SUM('3a.számú melléklet'!C45+'3b.számú melléklet'!C45+'3c.számú melléklet'!C45+'3d.számú melléklet'!C45+'3e.számú melléklet'!C45+'3f.számú melléklet'!C45+'3g.számú melléklet'!C45+'3h.számú melléklet'!C45)</f>
        <v>17633</v>
      </c>
      <c r="D45" s="498">
        <f>SUM('3a.számú melléklet'!D45+'3b.számú melléklet'!D45+'3c.számú melléklet'!D45+'3d.számú melléklet'!D45+'3e.számú melléklet'!D45+'3f.számú melléklet'!D45+'3g.számú melléklet'!D45+'3h.számú melléklet'!D45)</f>
        <v>0</v>
      </c>
      <c r="E45" s="498">
        <f>SUM('3a.számú melléklet'!E45+'3b.számú melléklet'!E45+'3c.számú melléklet'!E45+'3d.számú melléklet'!E45+'3e.számú melléklet'!E45+'3f.számú melléklet'!E45+'3g.számú melléklet'!E45+'3h.számú melléklet'!E45)</f>
        <v>8548</v>
      </c>
      <c r="F45" s="28">
        <f>SUM('3a.számú melléklet'!F45+'3b.számú melléklet'!F45+'3c.számú melléklet'!F45+'3d.számú melléklet'!F45+'3e.számú melléklet'!F45+'3f.számú melléklet'!F45+'3g.számú melléklet'!F45+'3h.számú melléklet'!F45)</f>
        <v>0</v>
      </c>
      <c r="G45" s="648">
        <f t="shared" si="0"/>
        <v>0</v>
      </c>
      <c r="H45" s="648">
        <f t="shared" si="1"/>
        <v>0</v>
      </c>
    </row>
    <row r="46" spans="1:8" s="533" customFormat="1" ht="12" customHeight="1">
      <c r="A46" s="199" t="s">
        <v>735</v>
      </c>
      <c r="B46" s="449" t="s">
        <v>311</v>
      </c>
      <c r="C46" s="498">
        <f>SUM('3a.számú melléklet'!C46+'3b.számú melléklet'!C46+'3c.számú melléklet'!C46+'3d.számú melléklet'!C46+'3e.számú melléklet'!C46+'3f.számú melléklet'!C46+'3g.számú melléklet'!C46+'3h.számú melléklet'!C46)</f>
        <v>125</v>
      </c>
      <c r="D46" s="498">
        <f>SUM('3a.számú melléklet'!D46+'3b.számú melléklet'!D46+'3c.számú melléklet'!D46+'3d.számú melléklet'!D46+'3e.számú melléklet'!D46+'3f.számú melléklet'!D46+'3g.számú melléklet'!D46+'3h.számú melléklet'!D46)</f>
        <v>0</v>
      </c>
      <c r="E46" s="498">
        <f>SUM('3a.számú melléklet'!E46+'3b.számú melléklet'!E46+'3c.számú melléklet'!E46+'3d.számú melléklet'!E46+'3e.számú melléklet'!E46+'3f.számú melléklet'!E46+'3g.számú melléklet'!E46+'3h.számú melléklet'!E46)</f>
        <v>962</v>
      </c>
      <c r="F46" s="28">
        <f>SUM('3a.számú melléklet'!F46+'3b.számú melléklet'!F46+'3c.számú melléklet'!F46+'3d.számú melléklet'!F46+'3e.számú melléklet'!F46+'3f.számú melléklet'!F46+'3g.számú melléklet'!F46+'3h.számú melléklet'!F46)</f>
        <v>0</v>
      </c>
      <c r="G46" s="648">
        <f t="shared" si="0"/>
        <v>0</v>
      </c>
      <c r="H46" s="648">
        <f t="shared" si="1"/>
        <v>0</v>
      </c>
    </row>
    <row r="47" spans="1:8" s="533" customFormat="1" ht="12" customHeight="1">
      <c r="A47" s="199" t="s">
        <v>736</v>
      </c>
      <c r="B47" s="449" t="s">
        <v>312</v>
      </c>
      <c r="C47" s="498">
        <f>SUM('3a.számú melléklet'!C47+'3b.számú melléklet'!C47+'3c.számú melléklet'!C47+'3d.számú melléklet'!C47+'3e.számú melléklet'!C47+'3f.számú melléklet'!C47+'3g.számú melléklet'!C47+'3h.számú melléklet'!C47)</f>
        <v>480428</v>
      </c>
      <c r="D47" s="498">
        <f>SUM('3a.számú melléklet'!D47+'3b.számú melléklet'!D47+'3c.számú melléklet'!D47+'3d.számú melléklet'!D47+'3e.számú melléklet'!D47+'3f.számú melléklet'!D47+'3g.számú melléklet'!D47+'3h.számú melléklet'!D47)</f>
        <v>0</v>
      </c>
      <c r="E47" s="498">
        <f>SUM('3a.számú melléklet'!E47+'3b.számú melléklet'!E47+'3c.számú melléklet'!E47+'3d.számú melléklet'!E47+'3e.számú melléklet'!E47+'3f.számú melléklet'!E47+'3g.számú melléklet'!E47+'3h.számú melléklet'!E47)</f>
        <v>646070</v>
      </c>
      <c r="F47" s="28">
        <f>SUM('3a.számú melléklet'!F47+'3b.számú melléklet'!F47+'3c.számú melléklet'!F47+'3d.számú melléklet'!F47+'3e.számú melléklet'!F47+'3f.számú melléklet'!F47+'3g.számú melléklet'!F47+'3h.számú melléklet'!F47)</f>
        <v>0</v>
      </c>
      <c r="G47" s="648">
        <f t="shared" si="0"/>
        <v>0</v>
      </c>
      <c r="H47" s="648">
        <f t="shared" si="1"/>
        <v>0</v>
      </c>
    </row>
    <row r="48" spans="1:8" s="533" customFormat="1" ht="12" customHeight="1">
      <c r="A48" s="531"/>
      <c r="B48" s="532" t="s">
        <v>768</v>
      </c>
      <c r="C48" s="397">
        <f>SUM('3a.számú melléklet'!C48+'3b.számú melléklet'!C48+'3c.számú melléklet'!C48+'3d.számú melléklet'!C48+'3e.számú melléklet'!C48+'3f.számú melléklet'!C48+'3g.számú melléklet'!C48+'3h.számú melléklet'!C48)</f>
        <v>2286014</v>
      </c>
      <c r="D48" s="397">
        <f>SUM('3a.számú melléklet'!D48+'3b.számú melléklet'!D48+'3c.számú melléklet'!D48+'3d.számú melléklet'!D48+'3e.számú melléklet'!D48+'3f.számú melléklet'!D48+'3g.számú melléklet'!D48+'3h.számú melléklet'!D48)</f>
        <v>1277899</v>
      </c>
      <c r="E48" s="397">
        <f>SUM('3a.számú melléklet'!E48+'3b.számú melléklet'!E48+'3c.számú melléklet'!E48+'3d.számú melléklet'!E48+'3e.számú melléklet'!E48+'3f.számú melléklet'!E48+'3g.számú melléklet'!E48+'3h.számú melléklet'!E48)</f>
        <v>2572471</v>
      </c>
      <c r="F48" s="397">
        <f>SUM('3a.számú melléklet'!F48+'3b.számú melléklet'!F48+'3c.számú melléklet'!F48+'3d.számú melléklet'!F48+'3e.számú melléklet'!F48+'3f.számú melléklet'!F48+'3g.számú melléklet'!F48+'3h.számú melléklet'!F48)</f>
        <v>1341561</v>
      </c>
      <c r="G48" s="502">
        <f t="shared" si="0"/>
        <v>1.0498177085982539</v>
      </c>
      <c r="H48" s="502">
        <f t="shared" si="1"/>
        <v>0.5215067536232673</v>
      </c>
    </row>
    <row r="49" spans="1:8" s="536" customFormat="1" ht="13.5">
      <c r="A49" s="537" t="s">
        <v>737</v>
      </c>
      <c r="B49" s="532" t="s">
        <v>351</v>
      </c>
      <c r="C49" s="397">
        <f>SUM('3a.számú melléklet'!C49+'3b.számú melléklet'!C49+'3c.számú melléklet'!C49+'3d.számú melléklet'!C49+'3e.számú melléklet'!C49+'3f.számú melléklet'!C49+'3g.számú melléklet'!C49+'3h.számú melléklet'!C49)</f>
        <v>7369746</v>
      </c>
      <c r="D49" s="397">
        <f>SUM('3a.számú melléklet'!D49+'3b.számú melléklet'!D49+'3c.számú melléklet'!D49+'3d.számú melléklet'!D49+'3e.számú melléklet'!D49+'3f.számú melléklet'!D49+'3g.számú melléklet'!D49+'3h.számú melléklet'!D49)</f>
        <v>7528303</v>
      </c>
      <c r="E49" s="397">
        <f>SUM('3a.számú melléklet'!E49+'3b.számú melléklet'!E49+'3c.számú melléklet'!E49+'3d.számú melléklet'!E49+'3e.számú melléklet'!E49+'3f.számú melléklet'!E49+'3g.számú melléklet'!E49+'3h.számú melléklet'!E49)</f>
        <v>7971952</v>
      </c>
      <c r="F49" s="397">
        <f>SUM('3a.számú melléklet'!F49+'3b.számú melléklet'!F49+'3c.számú melléklet'!F49+'3d.számú melléklet'!F49+'3e.számú melléklet'!F49+'3f.számú melléklet'!F49+'3g.számú melléklet'!F49+'3h.számú melléklet'!F49)</f>
        <v>7439104</v>
      </c>
      <c r="G49" s="502">
        <f t="shared" si="0"/>
        <v>0.9881515130302274</v>
      </c>
      <c r="H49" s="502">
        <f t="shared" si="1"/>
        <v>0.9331596577601069</v>
      </c>
    </row>
    <row r="50" spans="1:8" ht="12.75">
      <c r="A50" s="346"/>
      <c r="B50" s="987" t="s">
        <v>197</v>
      </c>
      <c r="C50" s="498">
        <f>SUM('3a.számú melléklet'!C50+'3b.számú melléklet'!C50+'3c.számú melléklet'!C50+'3d.számú melléklet'!C50+'3e.számú melléklet'!C50+'3f.számú melléklet'!C50+'3g.számú melléklet'!C50+'3h.számú melléklet'!C50)</f>
        <v>0</v>
      </c>
      <c r="D50" s="498">
        <f>SUM('3a.számú melléklet'!D50+'3b.számú melléklet'!D50+'3c.számú melléklet'!D50+'3d.számú melléklet'!D50+'3e.számú melléklet'!D50+'3f.számú melléklet'!D50+'3g.számú melléklet'!D50+'3h.számú melléklet'!D50)</f>
        <v>2805809</v>
      </c>
      <c r="E50" s="498">
        <f>SUM('3a.számú melléklet'!E50+'3b.számú melléklet'!E50+'3c.számú melléklet'!E50+'3d.számú melléklet'!E50+'3e.számú melléklet'!E50+'3f.számú melléklet'!E50+'3g.számú melléklet'!E50+'3h.számú melléklet'!E50)</f>
        <v>2796780</v>
      </c>
      <c r="F50" s="28">
        <f>SUM('3a.számú melléklet'!F50+'3b.számú melléklet'!F50+'3c.számú melléklet'!F50+'3d.számú melléklet'!F50+'3e.számú melléklet'!F50+'3f.számú melléklet'!F50+'3g.számú melléklet'!F50+'3h.számú melléklet'!F50)</f>
        <v>2712245</v>
      </c>
      <c r="G50" s="648">
        <f t="shared" si="0"/>
        <v>0.9666534678590025</v>
      </c>
      <c r="H50" s="648">
        <f t="shared" si="1"/>
        <v>0.9697741688656241</v>
      </c>
    </row>
    <row r="51" spans="1:8" ht="12.75">
      <c r="A51" s="346"/>
      <c r="B51" s="994" t="s">
        <v>397</v>
      </c>
      <c r="C51" s="498">
        <f>SUM('3a.számú melléklet'!C51+'3b.számú melléklet'!C51+'3c.számú melléklet'!C51+'3d.számú melléklet'!C51+'3e.számú melléklet'!C51+'3f.számú melléklet'!C51+'3g.számú melléklet'!C51+'3h.számú melléklet'!C51)</f>
        <v>0</v>
      </c>
      <c r="D51" s="498">
        <f>SUM('3a.számú melléklet'!D51+'3b.számú melléklet'!D51+'3c.számú melléklet'!D51+'3d.számú melléklet'!D51+'3e.számú melléklet'!D51+'3f.számú melléklet'!D51+'3g.számú melléklet'!D51+'3h.számú melléklet'!D51)</f>
        <v>54060</v>
      </c>
      <c r="E51" s="498">
        <f>SUM('3a.számú melléklet'!E51+'3b.számú melléklet'!E51+'3c.számú melléklet'!E51+'3d.számú melléklet'!E51+'3e.számú melléklet'!E51+'3f.számú melléklet'!E51+'3g.számú melléklet'!E51+'3h.számú melléklet'!E51)</f>
        <v>63001</v>
      </c>
      <c r="F51" s="28">
        <f>SUM('3a.számú melléklet'!F51+'3b.számú melléklet'!F51+'3c.számú melléklet'!F51+'3d.számú melléklet'!F51+'3e.számú melléklet'!F51+'3f.számú melléklet'!F51+'3g.számú melléklet'!F51+'3h.számú melléklet'!F51)</f>
        <v>53380</v>
      </c>
      <c r="G51" s="648">
        <f>IF(D51=0,0,F51/D51)</f>
        <v>0.9874213836477987</v>
      </c>
      <c r="H51" s="648">
        <f>IF(E51=0,0,F51/E51)</f>
        <v>0.8472881382835193</v>
      </c>
    </row>
    <row r="52" spans="1:8" s="536" customFormat="1" ht="13.5">
      <c r="A52" s="566"/>
      <c r="B52" s="567" t="s">
        <v>749</v>
      </c>
      <c r="C52" s="397">
        <f>SUM('3a.számú melléklet'!C52+'3b.számú melléklet'!C52+'3c.számú melléklet'!C52+'3d.számú melléklet'!C52+'3e.számú melléklet'!C52+'3f.számú melléklet'!C52+'3g.számú melléklet'!C52+'3h.számú melléklet'!C52)</f>
        <v>9655760</v>
      </c>
      <c r="D52" s="397">
        <f>SUM('3a.számú melléklet'!D52+'3b.számú melléklet'!D52+'3c.számú melléklet'!D52+'3d.számú melléklet'!D52+'3e.számú melléklet'!D52+'3f.számú melléklet'!D52+'3g.számú melléklet'!D52+'3h.számú melléklet'!D52)</f>
        <v>8806202</v>
      </c>
      <c r="E52" s="397">
        <f>SUM('3a.számú melléklet'!E52+'3b.számú melléklet'!E52+'3c.számú melléklet'!E52+'3d.számú melléklet'!E52+'3e.számú melléklet'!E52+'3f.számú melléklet'!E52+'3g.számú melléklet'!E52+'3h.számú melléklet'!E52)</f>
        <v>10544423</v>
      </c>
      <c r="F52" s="397">
        <f>SUM('3a.számú melléklet'!F52+'3b.számú melléklet'!F52+'3c.számú melléklet'!F52+'3d.számú melléklet'!F52+'3e.számú melléklet'!F52+'3f.számú melléklet'!F52+'3g.számú melléklet'!F52+'3h.számú melléklet'!F52)</f>
        <v>8780665</v>
      </c>
      <c r="G52" s="502">
        <f t="shared" si="0"/>
        <v>0.9971001119438323</v>
      </c>
      <c r="H52" s="502">
        <f t="shared" si="1"/>
        <v>0.8327307240993651</v>
      </c>
    </row>
  </sheetData>
  <sheetProtection password="CC08"/>
  <mergeCells count="4">
    <mergeCell ref="A1:H1"/>
    <mergeCell ref="A2:H2"/>
    <mergeCell ref="A3:H3"/>
    <mergeCell ref="A4:H4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CE,Normál"3.számú melléklet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ntry="1"/>
  <dimension ref="A1:I53"/>
  <sheetViews>
    <sheetView workbookViewId="0" topLeftCell="A40">
      <selection activeCell="F50" sqref="F50:F51"/>
    </sheetView>
  </sheetViews>
  <sheetFormatPr defaultColWidth="9.140625" defaultRowHeight="12.75"/>
  <cols>
    <col min="1" max="1" width="4.57421875" style="8" customWidth="1"/>
    <col min="2" max="2" width="37.00390625" style="10" customWidth="1"/>
    <col min="3" max="3" width="9.8515625" style="10" customWidth="1"/>
    <col min="4" max="4" width="10.7109375" style="9" customWidth="1"/>
    <col min="5" max="6" width="10.28125" style="9" customWidth="1"/>
    <col min="7" max="7" width="8.7109375" style="3" customWidth="1"/>
    <col min="8" max="8" width="9.00390625" style="3" customWidth="1"/>
    <col min="9" max="16384" width="8.8515625" style="3" customWidth="1"/>
  </cols>
  <sheetData>
    <row r="1" spans="1:8" ht="15.75">
      <c r="A1" s="1342" t="s">
        <v>426</v>
      </c>
      <c r="B1" s="1343"/>
      <c r="C1" s="1343"/>
      <c r="D1" s="1343"/>
      <c r="E1" s="1343"/>
      <c r="F1" s="1343"/>
      <c r="G1" s="1343"/>
      <c r="H1" s="1343"/>
    </row>
    <row r="2" spans="1:8" ht="18.75" customHeight="1">
      <c r="A2" s="1348" t="s">
        <v>903</v>
      </c>
      <c r="B2" s="1345"/>
      <c r="C2" s="1345"/>
      <c r="D2" s="1345"/>
      <c r="E2" s="1345"/>
      <c r="F2" s="1345"/>
      <c r="G2" s="1345"/>
      <c r="H2" s="1345"/>
    </row>
    <row r="3" spans="1:8" ht="15.75">
      <c r="A3" s="1348" t="s">
        <v>759</v>
      </c>
      <c r="B3" s="1345"/>
      <c r="C3" s="1345"/>
      <c r="D3" s="1345"/>
      <c r="E3" s="1345"/>
      <c r="F3" s="1345"/>
      <c r="G3" s="1345"/>
      <c r="H3" s="1345"/>
    </row>
    <row r="4" spans="1:8" ht="15.75">
      <c r="A4" s="1366" t="s">
        <v>538</v>
      </c>
      <c r="B4" s="1345"/>
      <c r="C4" s="1345"/>
      <c r="D4" s="1345"/>
      <c r="E4" s="1345"/>
      <c r="F4" s="1345"/>
      <c r="G4" s="1345"/>
      <c r="H4" s="799"/>
    </row>
    <row r="5" spans="2:8" ht="15.75" customHeight="1">
      <c r="B5" s="720"/>
      <c r="C5" s="720"/>
      <c r="D5" s="4"/>
      <c r="E5" s="4"/>
      <c r="F5" s="510"/>
      <c r="G5" s="721"/>
      <c r="H5" s="722" t="s">
        <v>128</v>
      </c>
    </row>
    <row r="6" spans="1:8" s="5" customFormat="1" ht="39.75" customHeight="1">
      <c r="A6" s="1226" t="s">
        <v>169</v>
      </c>
      <c r="B6" s="197" t="s">
        <v>129</v>
      </c>
      <c r="C6" s="725" t="s">
        <v>257</v>
      </c>
      <c r="D6" s="563" t="s">
        <v>911</v>
      </c>
      <c r="E6" s="563" t="s">
        <v>258</v>
      </c>
      <c r="F6" s="563" t="s">
        <v>249</v>
      </c>
      <c r="G6" s="723" t="s">
        <v>259</v>
      </c>
      <c r="H6" s="723" t="s">
        <v>259</v>
      </c>
    </row>
    <row r="7" spans="1:8" s="5" customFormat="1" ht="12" customHeight="1">
      <c r="A7" s="197" t="s">
        <v>524</v>
      </c>
      <c r="B7" s="445" t="s">
        <v>525</v>
      </c>
      <c r="C7" s="445" t="s">
        <v>526</v>
      </c>
      <c r="D7" s="445" t="s">
        <v>729</v>
      </c>
      <c r="E7" s="445" t="s">
        <v>730</v>
      </c>
      <c r="F7" s="445" t="s">
        <v>731</v>
      </c>
      <c r="G7" s="724" t="s">
        <v>250</v>
      </c>
      <c r="H7" s="724" t="s">
        <v>251</v>
      </c>
    </row>
    <row r="8" spans="1:8" s="6" customFormat="1" ht="12" customHeight="1">
      <c r="A8" s="198"/>
      <c r="B8" s="452" t="s">
        <v>739</v>
      </c>
      <c r="C8" s="58">
        <f>SUM('3a.számú melléklet'!C8+'3b.számú melléklet'!C8+'3d.számú melléklet'!C8+'3e.számú melléklet'!C8+'3f.számú melléklet'!C8+'3g.számú melléklet'!C8+'3h.számú melléklet'!C8)</f>
        <v>1808</v>
      </c>
      <c r="D8" s="58">
        <f>SUM('3a.számú melléklet'!D8+'3b.számú melléklet'!D8+'3d.számú melléklet'!D8+'3e.számú melléklet'!D8+'3f.számú melléklet'!D8+'3g.számú melléklet'!D8+'3h.számú melléklet'!D8)</f>
        <v>1904</v>
      </c>
      <c r="E8" s="58">
        <f>SUM('3a.számú melléklet'!E8+'3b.számú melléklet'!E8+'3d.számú melléklet'!E8+'3e.számú melléklet'!E8+'3f.számú melléklet'!E8+'3g.számú melléklet'!E8+'3h.számú melléklet'!E8)</f>
        <v>1856.5</v>
      </c>
      <c r="F8" s="58">
        <f>SUM('3a.számú melléklet'!F8+'3b.számú melléklet'!F8+'3d.számú melléklet'!F8+'3e.számú melléklet'!F8+'3f.számú melléklet'!F8+'3g.számú melléklet'!F8+'3h.számú melléklet'!F8)</f>
        <v>1839.5</v>
      </c>
      <c r="G8" s="453"/>
      <c r="H8" s="453"/>
    </row>
    <row r="9" spans="1:8" s="533" customFormat="1" ht="12" customHeight="1">
      <c r="A9" s="531"/>
      <c r="B9" s="532" t="s">
        <v>459</v>
      </c>
      <c r="C9" s="28"/>
      <c r="D9" s="28"/>
      <c r="E9" s="28"/>
      <c r="F9" s="28"/>
      <c r="G9" s="453"/>
      <c r="H9" s="453"/>
    </row>
    <row r="10" spans="1:8" s="7" customFormat="1" ht="12" customHeight="1">
      <c r="A10" s="199" t="s">
        <v>524</v>
      </c>
      <c r="B10" s="449" t="s">
        <v>460</v>
      </c>
      <c r="C10" s="498">
        <f>SUM('3a.számú melléklet'!C10+'3b.számú melléklet'!C10+'3d.számú melléklet'!C10+'3e.számú melléklet'!C10+'3f.számú melléklet'!C10+'3g.számú melléklet'!C10+'3h.számú melléklet'!C10)</f>
        <v>4031967</v>
      </c>
      <c r="D10" s="498">
        <f>SUM('3a.számú melléklet'!D10+'3b.számú melléklet'!D10+'3d.számú melléklet'!D10+'3e.számú melléklet'!D10+'3f.számú melléklet'!D10+'3g.számú melléklet'!D10+'3h.számú melléklet'!D10)</f>
        <v>4308788</v>
      </c>
      <c r="E10" s="498">
        <f>SUM('3a.számú melléklet'!E10+'3b.számú melléklet'!E10+'3d.számú melléklet'!E10+'3e.számú melléklet'!E10+'3f.számú melléklet'!E10+'3g.számú melléklet'!E10+'3h.számú melléklet'!E10)</f>
        <v>4374358</v>
      </c>
      <c r="F10" s="28">
        <f>SUM('3a.számú melléklet'!F10+'3b.számú melléklet'!F10+'3d.számú melléklet'!F10+'3e.számú melléklet'!F10+'3f.számú melléklet'!F10+'3g.számú melléklet'!F10+'3h.számú melléklet'!F10)</f>
        <v>4221084</v>
      </c>
      <c r="G10" s="648">
        <f>IF(D10=0,0,F10/D10)</f>
        <v>0.9796453202153367</v>
      </c>
      <c r="H10" s="648">
        <f aca="true" t="shared" si="0" ref="H10:H50">IF(E10=0,0,F10/E10)</f>
        <v>0.964960801104985</v>
      </c>
    </row>
    <row r="11" spans="1:8" s="7" customFormat="1" ht="12" customHeight="1">
      <c r="A11" s="199" t="s">
        <v>525</v>
      </c>
      <c r="B11" s="450" t="s">
        <v>461</v>
      </c>
      <c r="C11" s="498">
        <f>SUM('3a.számú melléklet'!C11+'3b.számú melléklet'!C11+'3d.számú melléklet'!C11+'3e.számú melléklet'!C11+'3f.számú melléklet'!C11+'3g.számú melléklet'!C11+'3h.számú melléklet'!C11)</f>
        <v>1318682</v>
      </c>
      <c r="D11" s="498">
        <f>SUM('3a.számú melléklet'!D11+'3b.számú melléklet'!D11+'3d.számú melléklet'!D11+'3e.számú melléklet'!D11+'3f.számú melléklet'!D11+'3g.számú melléklet'!D11+'3h.számú melléklet'!D11)</f>
        <v>1379507</v>
      </c>
      <c r="E11" s="498">
        <f>SUM('3a.számú melléklet'!E11+'3b.számú melléklet'!E11+'3d.számú melléklet'!E11+'3e.számú melléklet'!E11+'3f.számú melléklet'!E11+'3g.számú melléklet'!E11+'3h.számú melléklet'!E11)</f>
        <v>1396318</v>
      </c>
      <c r="F11" s="28">
        <f>SUM('3a.számú melléklet'!F11+'3b.számú melléklet'!F11+'3d.számú melléklet'!F11+'3e.számú melléklet'!F11+'3f.számú melléklet'!F11+'3g.számú melléklet'!F11+'3h.számú melléklet'!F11)</f>
        <v>1352410</v>
      </c>
      <c r="G11" s="648">
        <f aca="true" t="shared" si="1" ref="G11:G50">IF(D11=0,0,F11/D11)</f>
        <v>0.9803574755329258</v>
      </c>
      <c r="H11" s="648">
        <f t="shared" si="0"/>
        <v>0.9685544410370703</v>
      </c>
    </row>
    <row r="12" spans="1:8" s="7" customFormat="1" ht="12" customHeight="1">
      <c r="A12" s="199"/>
      <c r="B12" s="447" t="s">
        <v>316</v>
      </c>
      <c r="C12" s="498">
        <f>SUM('3a.számú melléklet'!C12+'3b.számú melléklet'!C12+'3d.számú melléklet'!C12+'3e.számú melléklet'!C12+'3f.számú melléklet'!C12+'3g.számú melléklet'!C12+'3h.számú melléklet'!C12)</f>
        <v>1122008</v>
      </c>
      <c r="D12" s="498">
        <f>SUM('3a.számú melléklet'!D12+'3b.számú melléklet'!D12+'3d.számú melléklet'!D12+'3e.számú melléklet'!D12+'3f.számú melléklet'!D12+'3g.számú melléklet'!D12+'3h.számú melléklet'!D12)</f>
        <v>1205212</v>
      </c>
      <c r="E12" s="498">
        <f>SUM('3a.számú melléklet'!E12+'3b.számú melléklet'!E12+'3d.számú melléklet'!E12+'3e.számú melléklet'!E12+'3f.számú melléklet'!E12+'3g.számú melléklet'!E12+'3h.számú melléklet'!E12)</f>
        <v>1217977</v>
      </c>
      <c r="F12" s="28">
        <f>SUM('3a.számú melléklet'!F12+'3b.számú melléklet'!F12+'3d.számú melléklet'!F12+'3e.számú melléklet'!F12+'3f.számú melléklet'!F12+'3g.számú melléklet'!F12+'3h.számú melléklet'!F12)</f>
        <v>1179807</v>
      </c>
      <c r="G12" s="648">
        <f t="shared" si="1"/>
        <v>0.9789207210017823</v>
      </c>
      <c r="H12" s="648">
        <f t="shared" si="0"/>
        <v>0.9686611487737453</v>
      </c>
    </row>
    <row r="13" spans="1:8" s="7" customFormat="1" ht="12" customHeight="1">
      <c r="A13" s="199"/>
      <c r="B13" s="447" t="s">
        <v>198</v>
      </c>
      <c r="C13" s="498">
        <f>SUM('3a.számú melléklet'!C13+'3b.számú melléklet'!C13+'3d.számú melléklet'!C13+'3e.számú melléklet'!C13+'3f.számú melléklet'!C13+'3g.számú melléklet'!C13+'3h.számú melléklet'!C13)</f>
        <v>113051</v>
      </c>
      <c r="D13" s="498">
        <f>SUM('3a.számú melléklet'!D13+'3b.számú melléklet'!D13+'3d.számú melléklet'!D13+'3e.számú melléklet'!D13+'3f.számú melléklet'!D13+'3g.számú melléklet'!D13+'3h.számú melléklet'!D13)</f>
        <v>123615</v>
      </c>
      <c r="E13" s="498">
        <f>SUM('3a.számú melléklet'!E13+'3b.számú melléklet'!E13+'3d.számú melléklet'!E13+'3e.számú melléklet'!E13+'3f.számú melléklet'!E13+'3g.számú melléklet'!E13+'3h.számú melléklet'!E13)</f>
        <v>123497</v>
      </c>
      <c r="F13" s="28">
        <f>SUM('3a.számú melléklet'!F13+'3b.számú melléklet'!F13+'3d.számú melléklet'!F13+'3e.számú melléklet'!F13+'3f.számú melléklet'!F13+'3g.számú melléklet'!F13+'3h.számú melléklet'!F13)</f>
        <v>121300</v>
      </c>
      <c r="G13" s="648">
        <f t="shared" si="1"/>
        <v>0.9812724992921571</v>
      </c>
      <c r="H13" s="648">
        <f t="shared" si="0"/>
        <v>0.9822100941723281</v>
      </c>
    </row>
    <row r="14" spans="1:8" s="7" customFormat="1" ht="12" customHeight="1">
      <c r="A14" s="199"/>
      <c r="B14" s="447" t="s">
        <v>199</v>
      </c>
      <c r="C14" s="498">
        <f>SUM('3a.számú melléklet'!C14+'3b.számú melléklet'!C14+'3d.számú melléklet'!C14+'3e.számú melléklet'!C14+'3f.számú melléklet'!C14+'3g.számú melléklet'!C14+'3h.számú melléklet'!C14)</f>
        <v>73069</v>
      </c>
      <c r="D14" s="498">
        <f>SUM('3a.számú melléklet'!D14+'3b.számú melléklet'!D14+'3d.számú melléklet'!D14+'3e.számú melléklet'!D14+'3f.számú melléklet'!D14+'3g.számú melléklet'!D14+'3h.számú melléklet'!D14)</f>
        <v>40956</v>
      </c>
      <c r="E14" s="498">
        <f>SUM('3a.számú melléklet'!E14+'3b.számú melléklet'!E14+'3d.számú melléklet'!E14+'3e.számú melléklet'!E14+'3f.számú melléklet'!E14+'3g.számú melléklet'!E14+'3h.számú melléklet'!E14)</f>
        <v>42211</v>
      </c>
      <c r="F14" s="28">
        <f>SUM('3a.számú melléklet'!F14+'3b.számú melléklet'!F14+'3d.számú melléklet'!F14+'3e.számú melléklet'!F14+'3f.számú melléklet'!F14+'3g.számú melléklet'!F14+'3h.számú melléklet'!F14)</f>
        <v>42450</v>
      </c>
      <c r="G14" s="648">
        <f t="shared" si="1"/>
        <v>1.0364781716964548</v>
      </c>
      <c r="H14" s="648">
        <f t="shared" si="0"/>
        <v>1.0056620312240885</v>
      </c>
    </row>
    <row r="15" spans="1:8" s="7" customFormat="1" ht="12" customHeight="1">
      <c r="A15" s="199"/>
      <c r="B15" s="447" t="s">
        <v>315</v>
      </c>
      <c r="C15" s="498">
        <f>SUM('3a.számú melléklet'!C15+'3b.számú melléklet'!C15+'3d.számú melléklet'!C15+'3e.számú melléklet'!C15+'3f.számú melléklet'!C15+'3g.számú melléklet'!C15+'3h.számú melléklet'!C15)</f>
        <v>10554</v>
      </c>
      <c r="D15" s="498">
        <f>SUM('3a.számú melléklet'!D15+'3b.számú melléklet'!D15+'3d.számú melléklet'!D15+'3e.számú melléklet'!D15+'3f.számú melléklet'!D15+'3g.számú melléklet'!D15+'3h.számú melléklet'!D15)</f>
        <v>9724</v>
      </c>
      <c r="E15" s="498">
        <f>SUM('3a.számú melléklet'!E15+'3b.számú melléklet'!E15+'3d.számú melléklet'!E15+'3e.számú melléklet'!E15+'3f.számú melléklet'!E15+'3g.számú melléklet'!E15+'3h.számú melléklet'!E15)</f>
        <v>12633</v>
      </c>
      <c r="F15" s="28">
        <f>SUM('3a.számú melléklet'!F15+'3b.számú melléklet'!F15+'3d.számú melléklet'!F15+'3e.számú melléklet'!F15+'3f.számú melléklet'!F15+'3g.számú melléklet'!F15+'3h.számú melléklet'!F15)</f>
        <v>8853</v>
      </c>
      <c r="G15" s="648">
        <f t="shared" si="1"/>
        <v>0.910427807486631</v>
      </c>
      <c r="H15" s="648">
        <f t="shared" si="0"/>
        <v>0.7007836618380432</v>
      </c>
    </row>
    <row r="16" spans="1:8" s="7" customFormat="1" ht="12" customHeight="1">
      <c r="A16" s="199" t="s">
        <v>526</v>
      </c>
      <c r="B16" s="449" t="s">
        <v>462</v>
      </c>
      <c r="C16" s="498">
        <f>SUM('3a.számú melléklet'!C16+'3b.számú melléklet'!C16+'3d.számú melléklet'!C16+'3e.számú melléklet'!C16+'3f.számú melléklet'!C16+'3g.számú melléklet'!C16+'3h.számú melléklet'!C16)</f>
        <v>1809443</v>
      </c>
      <c r="D16" s="498">
        <f>SUM('3a.számú melléklet'!D16+'3b.számú melléklet'!D16+'3d.számú melléklet'!D16+'3e.számú melléklet'!D16+'3f.számú melléklet'!D16+'3g.számú melléklet'!D16+'3h.számú melléklet'!D16)</f>
        <v>1536863</v>
      </c>
      <c r="E16" s="498">
        <f>SUM('3a.számú melléklet'!E16+'3b.számú melléklet'!E16+'3d.számú melléklet'!E16+'3e.számú melléklet'!E16+'3f.számú melléklet'!E16+'3g.számú melléklet'!E16+'3h.számú melléklet'!E16)</f>
        <v>1702049</v>
      </c>
      <c r="F16" s="28">
        <f>SUM('3a.számú melléklet'!F16+'3b.számú melléklet'!F16+'3d.számú melléklet'!F16+'3e.számú melléklet'!F16+'3f.számú melléklet'!F16+'3g.számú melléklet'!F16+'3h.számú melléklet'!F16)</f>
        <v>1562325</v>
      </c>
      <c r="G16" s="648">
        <f t="shared" si="1"/>
        <v>1.0165675144759163</v>
      </c>
      <c r="H16" s="648">
        <f t="shared" si="0"/>
        <v>0.9179083563399174</v>
      </c>
    </row>
    <row r="17" spans="1:8" s="7" customFormat="1" ht="24" customHeight="1">
      <c r="A17" s="198" t="s">
        <v>729</v>
      </c>
      <c r="B17" s="460" t="s">
        <v>195</v>
      </c>
      <c r="C17" s="498">
        <f>SUM('3a.számú melléklet'!C17+'3b.számú melléklet'!C17+'3d.számú melléklet'!C17+'3e.számú melléklet'!C17+'3f.számú melléklet'!C17+'3g.számú melléklet'!C17+'3h.számú melléklet'!C17)</f>
        <v>0</v>
      </c>
      <c r="D17" s="498">
        <f>SUM('3a.számú melléklet'!D17+'3b.számú melléklet'!D17+'3d.számú melléklet'!D17+'3e.számú melléklet'!D17+'3f.számú melléklet'!D17+'3g.számú melléklet'!D17+'3h.számú melléklet'!D17)</f>
        <v>0</v>
      </c>
      <c r="E17" s="498">
        <f>SUM('3a.számú melléklet'!E17+'3b.számú melléklet'!E17+'3d.számú melléklet'!E17+'3e.számú melléklet'!E17+'3f.számú melléklet'!E17+'3g.számú melléklet'!E17+'3h.számú melléklet'!E17)</f>
        <v>98217</v>
      </c>
      <c r="F17" s="28">
        <f>SUM('3a.számú melléklet'!F17+'3b.számú melléklet'!F17+'3d.számú melléklet'!F17+'3e.számú melléklet'!F17+'3f.számú melléklet'!F17+'3g.számú melléklet'!F17+'3h.számú melléklet'!F17)</f>
        <v>0</v>
      </c>
      <c r="G17" s="648">
        <f t="shared" si="1"/>
        <v>0</v>
      </c>
      <c r="H17" s="648">
        <f t="shared" si="0"/>
        <v>0</v>
      </c>
    </row>
    <row r="18" spans="1:8" s="7" customFormat="1" ht="12" customHeight="1">
      <c r="A18" s="583"/>
      <c r="B18" s="965" t="s">
        <v>405</v>
      </c>
      <c r="C18" s="499">
        <f>SUM('3a.számú melléklet'!C18+'3b.számú melléklet'!C18+'3d.számú melléklet'!C18+'3e.számú melléklet'!C18+'3f.számú melléklet'!C18+'3g.számú melléklet'!C18+'3h.számú melléklet'!C18)</f>
        <v>0</v>
      </c>
      <c r="D18" s="499">
        <f>SUM('3a.számú melléklet'!D18+'3b.számú melléklet'!D18+'3d.számú melléklet'!D18+'3e.számú melléklet'!D18+'3f.számú melléklet'!D18+'3g.számú melléklet'!D18+'3h.számú melléklet'!D18)</f>
        <v>0</v>
      </c>
      <c r="E18" s="499">
        <f>SUM('3a.számú melléklet'!E18+'3b.számú melléklet'!E18+'3d.számú melléklet'!E18+'3e.számú melléklet'!E18+'3f.számú melléklet'!E18+'3g.számú melléklet'!E18+'3h.számú melléklet'!E18)</f>
        <v>98217</v>
      </c>
      <c r="F18" s="504">
        <f>SUM('3a.számú melléklet'!F18+'3b.számú melléklet'!F18+'3d.számú melléklet'!F18+'3e.számú melléklet'!F18+'3f.számú melléklet'!F18+'3g.számú melléklet'!F18+'3h.számú melléklet'!F18)</f>
        <v>0</v>
      </c>
      <c r="G18" s="517">
        <f t="shared" si="1"/>
        <v>0</v>
      </c>
      <c r="H18" s="517">
        <f t="shared" si="0"/>
        <v>0</v>
      </c>
    </row>
    <row r="19" spans="1:8" s="7" customFormat="1" ht="12" customHeight="1">
      <c r="A19" s="581"/>
      <c r="B19" s="968" t="s">
        <v>447</v>
      </c>
      <c r="C19" s="500">
        <f>SUM('3a.számú melléklet'!C19+'3b.számú melléklet'!C19+'3d.számú melléklet'!C19+'3e.számú melléklet'!C19+'3f.számú melléklet'!C19+'3g.számú melléklet'!C19+'3h.számú melléklet'!C19)</f>
        <v>0</v>
      </c>
      <c r="D19" s="500">
        <f>SUM('3a.számú melléklet'!D19+'3b.számú melléklet'!D19+'3d.számú melléklet'!D19+'3e.számú melléklet'!D19+'3f.számú melléklet'!D19+'3g.számú melléklet'!D19+'3h.számú melléklet'!D19)</f>
        <v>0</v>
      </c>
      <c r="E19" s="500">
        <f>SUM('3a.számú melléklet'!E19+'3b.számú melléklet'!E19+'3d.számú melléklet'!E19+'3e.számú melléklet'!E19+'3f.számú melléklet'!E19+'3g.számú melléklet'!E19+'3h.számú melléklet'!E19)</f>
        <v>17216</v>
      </c>
      <c r="F19" s="505">
        <f>SUM('3a.számú melléklet'!F19+'3b.számú melléklet'!F19+'3d.számú melléklet'!F19+'3e.számú melléklet'!F19+'3f.számú melléklet'!F19+'3g.számú melléklet'!F19+'3h.számú melléklet'!F19)</f>
        <v>0</v>
      </c>
      <c r="G19" s="970">
        <f>IF(D19=0,0,F19/D19)</f>
        <v>0</v>
      </c>
      <c r="H19" s="970">
        <f>IF(E19=0,0,F19/E19)</f>
        <v>0</v>
      </c>
    </row>
    <row r="20" spans="1:8" s="7" customFormat="1" ht="24" customHeight="1">
      <c r="A20" s="199"/>
      <c r="B20" s="972" t="s">
        <v>406</v>
      </c>
      <c r="C20" s="498">
        <f>SUM('3a.számú melléklet'!C20+'3b.számú melléklet'!C20+'3d.számú melléklet'!C20+'3e.számú melléklet'!C20+'3f.számú melléklet'!C20+'3g.számú melléklet'!C20+'3h.számú melléklet'!C20)</f>
        <v>0</v>
      </c>
      <c r="D20" s="498">
        <f>SUM('3a.számú melléklet'!D20+'3b.számú melléklet'!D20+'3d.számú melléklet'!D20+'3e.számú melléklet'!D20+'3f.számú melléklet'!D20+'3g.számú melléklet'!D20+'3h.számú melléklet'!D20)</f>
        <v>0</v>
      </c>
      <c r="E20" s="498">
        <f>SUM('3a.számú melléklet'!E20+'3b.számú melléklet'!E20+'3d.számú melléklet'!E20+'3e.számú melléklet'!E20+'3f.számú melléklet'!E20+'3g.számú melléklet'!E20+'3h.számú melléklet'!E20)</f>
        <v>0</v>
      </c>
      <c r="F20" s="28">
        <f>SUM('3a.számú melléklet'!F20+'3b.számú melléklet'!F20+'3d.számú melléklet'!F20+'3e.számú melléklet'!F20+'3f.számú melléklet'!F20+'3g.számú melléklet'!F20+'3h.számú melléklet'!F20)</f>
        <v>0</v>
      </c>
      <c r="G20" s="648">
        <f t="shared" si="1"/>
        <v>0</v>
      </c>
      <c r="H20" s="648">
        <f t="shared" si="0"/>
        <v>0</v>
      </c>
    </row>
    <row r="21" spans="1:8" s="7" customFormat="1" ht="12" customHeight="1">
      <c r="A21" s="199" t="s">
        <v>730</v>
      </c>
      <c r="B21" s="449" t="s">
        <v>185</v>
      </c>
      <c r="C21" s="498">
        <f>SUM('3a.számú melléklet'!C21+'3b.számú melléklet'!C21+'3d.számú melléklet'!C21+'3e.számú melléklet'!C21+'3f.számú melléklet'!C21+'3g.számú melléklet'!C21+'3h.számú melléklet'!C21)</f>
        <v>3680</v>
      </c>
      <c r="D21" s="498">
        <f>SUM('3a.számú melléklet'!D21+'3b.számú melléklet'!D21+'3d.számú melléklet'!D21+'3e.számú melléklet'!D21+'3f.számú melléklet'!D21+'3g.számú melléklet'!D21+'3h.számú melléklet'!D21)</f>
        <v>0</v>
      </c>
      <c r="E21" s="498">
        <f>SUM('3a.számú melléklet'!E21+'3b.számú melléklet'!E21+'3d.számú melléklet'!E21+'3e.számú melléklet'!E21+'3f.számú melléklet'!E21+'3g.számú melléklet'!E21+'3h.számú melléklet'!E21)</f>
        <v>742</v>
      </c>
      <c r="F21" s="28">
        <f>SUM('3a.számú melléklet'!F21+'3b.számú melléklet'!F21+'3d.számú melléklet'!F21+'3e.számú melléklet'!F21+'3f.számú melléklet'!F21+'3g.számú melléklet'!F21+'3h.számú melléklet'!F21)</f>
        <v>0</v>
      </c>
      <c r="G21" s="648">
        <f t="shared" si="1"/>
        <v>0</v>
      </c>
      <c r="H21" s="648">
        <f t="shared" si="0"/>
        <v>0</v>
      </c>
    </row>
    <row r="22" spans="1:8" s="7" customFormat="1" ht="12" customHeight="1">
      <c r="A22" s="199" t="s">
        <v>731</v>
      </c>
      <c r="B22" s="449" t="s">
        <v>83</v>
      </c>
      <c r="C22" s="498">
        <f>SUM('3a.számú melléklet'!C22+'3b.számú melléklet'!C22+'3d.számú melléklet'!C22+'3e.számú melléklet'!C22+'3f.számú melléklet'!C22+'3g.számú melléklet'!C22+'3h.számú melléklet'!C22)</f>
        <v>0</v>
      </c>
      <c r="D22" s="498">
        <f>SUM('3a.számú melléklet'!D22+'3b.számú melléklet'!D22+'3d.számú melléklet'!D22+'3e.számú melléklet'!D22+'3f.számú melléklet'!D22+'3g.számú melléklet'!D22+'3h.számú melléklet'!D22)</f>
        <v>0</v>
      </c>
      <c r="E22" s="498">
        <f>SUM('3a.számú melléklet'!E22+'3b.számú melléklet'!E22+'3d.számú melléklet'!E22+'3e.számú melléklet'!E22+'3f.számú melléklet'!E22+'3g.számú melléklet'!E22+'3h.számú melléklet'!E22)</f>
        <v>0</v>
      </c>
      <c r="F22" s="28">
        <f>SUM('3a.számú melléklet'!F22+'3b.számú melléklet'!F22+'3d.számú melléklet'!F22+'3e.számú melléklet'!F22+'3f.számú melléklet'!F22+'3g.számú melléklet'!F22+'3h.számú melléklet'!F22)</f>
        <v>0</v>
      </c>
      <c r="G22" s="648">
        <f>IF(D22=0,0,F22/D22)</f>
        <v>0</v>
      </c>
      <c r="H22" s="648">
        <f>IF(E22=0,0,F22/E22)</f>
        <v>0</v>
      </c>
    </row>
    <row r="23" spans="1:8" s="536" customFormat="1" ht="13.5">
      <c r="A23" s="531" t="s">
        <v>805</v>
      </c>
      <c r="B23" s="532" t="s">
        <v>317</v>
      </c>
      <c r="C23" s="397">
        <f>SUM('3a.számú melléklet'!C23+'3b.számú melléklet'!C23+'3d.számú melléklet'!C23+'3e.számú melléklet'!C23+'3f.számú melléklet'!C23+'3g.számú melléklet'!C23+'3h.számú melléklet'!C23)</f>
        <v>7163772</v>
      </c>
      <c r="D23" s="397">
        <f>SUM('3a.számú melléklet'!D23+'3b.számú melléklet'!D23+'3d.számú melléklet'!D23+'3e.számú melléklet'!D23+'3f.számú melléklet'!D23+'3g.számú melléklet'!D23+'3h.számú melléklet'!D23)</f>
        <v>7225158</v>
      </c>
      <c r="E23" s="397">
        <f>SUM('3a.számú melléklet'!E23+'3b.számú melléklet'!E23+'3d.számú melléklet'!E23+'3e.számú melléklet'!E23+'3f.számú melléklet'!E23+'3g.számú melléklet'!E23+'3h.számú melléklet'!E23)</f>
        <v>7571684</v>
      </c>
      <c r="F23" s="397">
        <f>SUM('3a.számú melléklet'!F23+'3b.számú melléklet'!F23+'3d.számú melléklet'!F23+'3e.számú melléklet'!F23+'3f.számú melléklet'!F23+'3g.számú melléklet'!F23+'3h.számú melléklet'!F23)</f>
        <v>7135819</v>
      </c>
      <c r="G23" s="502">
        <f t="shared" si="1"/>
        <v>0.9876350108883432</v>
      </c>
      <c r="H23" s="502">
        <f t="shared" si="0"/>
        <v>0.9424348665369553</v>
      </c>
    </row>
    <row r="24" spans="1:8" s="7" customFormat="1" ht="12" customHeight="1">
      <c r="A24" s="199" t="s">
        <v>732</v>
      </c>
      <c r="B24" s="449" t="s">
        <v>200</v>
      </c>
      <c r="C24" s="498">
        <f>SUM('3a.számú melléklet'!C24+'3b.számú melléklet'!C24+'3d.számú melléklet'!C24+'3e.számú melléklet'!C24+'3f.számú melléklet'!C24+'3g.számú melléklet'!C24+'3h.számú melléklet'!C24)</f>
        <v>286874</v>
      </c>
      <c r="D24" s="498">
        <f>SUM('3a.számú melléklet'!D24+'3b.számú melléklet'!D24+'3d.számú melléklet'!D24+'3e.számú melléklet'!D24+'3f.számú melléklet'!D24+'3g.számú melléklet'!D24+'3h.számú melléklet'!D24)</f>
        <v>5000</v>
      </c>
      <c r="E24" s="498">
        <f>SUM('3a.számú melléklet'!E24+'3b.számú melléklet'!E24+'3d.számú melléklet'!E24+'3e.számú melléklet'!E24+'3f.számú melléklet'!E24+'3g.számú melléklet'!E24+'3h.számú melléklet'!E24)</f>
        <v>435133</v>
      </c>
      <c r="F24" s="28">
        <f>SUM('3a.számú melléklet'!F24+'3b.számú melléklet'!F24+'3d.számú melléklet'!F24+'3e.számú melléklet'!F24+'3f.számú melléklet'!F24+'3g.számú melléklet'!F24+'3h.számú melléklet'!F24)</f>
        <v>5000</v>
      </c>
      <c r="G24" s="648">
        <f t="shared" si="1"/>
        <v>1</v>
      </c>
      <c r="H24" s="648">
        <f t="shared" si="0"/>
        <v>0.011490739612945926</v>
      </c>
    </row>
    <row r="25" spans="1:8" s="7" customFormat="1" ht="12" customHeight="1">
      <c r="A25" s="199" t="s">
        <v>733</v>
      </c>
      <c r="B25" s="449" t="s">
        <v>203</v>
      </c>
      <c r="C25" s="498">
        <f>SUM('3a.számú melléklet'!C25+'3b.számú melléklet'!C25+'3d.számú melléklet'!C25+'3e.számú melléklet'!C25+'3f.számú melléklet'!C25+'3g.számú melléklet'!C25+'3h.számú melléklet'!C25)</f>
        <v>58771</v>
      </c>
      <c r="D25" s="498">
        <f>SUM('3a.számú melléklet'!D25+'3b.számú melléklet'!D25+'3d.számú melléklet'!D25+'3e.számú melléklet'!D25+'3f.számú melléklet'!D25+'3g.számú melléklet'!D25+'3h.számú melléklet'!D25)</f>
        <v>0</v>
      </c>
      <c r="E25" s="498">
        <f>SUM('3a.számú melléklet'!E25+'3b.számú melléklet'!E25+'3d.számú melléklet'!E25+'3e.számú melléklet'!E25+'3f.számú melléklet'!E25+'3g.számú melléklet'!E25+'3h.számú melléklet'!E25)</f>
        <v>64973</v>
      </c>
      <c r="F25" s="28">
        <f>SUM('3a.számú melléklet'!F25+'3b.számú melléklet'!F25+'3d.számú melléklet'!F25+'3e.számú melléklet'!F25+'3f.számú melléklet'!F25+'3g.számú melléklet'!F25+'3h.számú melléklet'!F25)</f>
        <v>0</v>
      </c>
      <c r="G25" s="648">
        <f t="shared" si="1"/>
        <v>0</v>
      </c>
      <c r="H25" s="648">
        <f t="shared" si="0"/>
        <v>0</v>
      </c>
    </row>
    <row r="26" spans="1:8" s="7" customFormat="1" ht="24" customHeight="1">
      <c r="A26" s="198" t="s">
        <v>734</v>
      </c>
      <c r="B26" s="460" t="s">
        <v>196</v>
      </c>
      <c r="C26" s="498">
        <f>SUM('3a.számú melléklet'!C26+'3b.számú melléklet'!C26+'3d.számú melléklet'!C26+'3e.számú melléklet'!C26+'3f.számú melléklet'!C26+'3g.számú melléklet'!C26+'3h.számú melléklet'!C26)</f>
        <v>0</v>
      </c>
      <c r="D26" s="498">
        <f>SUM('3a.számú melléklet'!D26+'3b.számú melléklet'!D26+'3d.számú melléklet'!D26+'3e.számú melléklet'!D26+'3f.számú melléklet'!D26+'3g.számú melléklet'!D26+'3h.számú melléklet'!D26)</f>
        <v>0</v>
      </c>
      <c r="E26" s="498">
        <f>SUM('3a.számú melléklet'!E26+'3b.számú melléklet'!E26+'3d.számú melléklet'!E26+'3e.számú melléklet'!E26+'3f.számú melléklet'!E26+'3g.számú melléklet'!E26+'3h.számú melléklet'!E26)</f>
        <v>69498</v>
      </c>
      <c r="F26" s="28">
        <f>SUM('3a.számú melléklet'!F26+'3b.számú melléklet'!F26+'3d.számú melléklet'!F26+'3e.számú melléklet'!F26+'3f.számú melléklet'!F26+'3g.számú melléklet'!F26+'3h.számú melléklet'!F26)</f>
        <v>0</v>
      </c>
      <c r="G26" s="648">
        <f t="shared" si="1"/>
        <v>0</v>
      </c>
      <c r="H26" s="648">
        <f t="shared" si="0"/>
        <v>0</v>
      </c>
    </row>
    <row r="27" spans="1:8" s="7" customFormat="1" ht="12" customHeight="1" hidden="1">
      <c r="A27" s="199"/>
      <c r="B27" s="446"/>
      <c r="C27" s="498">
        <f>SUM('3a.számú melléklet'!C27+'3b.számú melléklet'!C27+'3d.számú melléklet'!C27+'3e.számú melléklet'!C27+'3f.számú melléklet'!C27+'3g.számú melléklet'!C27+'3h.számú melléklet'!C27)</f>
        <v>0</v>
      </c>
      <c r="D27" s="498">
        <f>SUM('3a.számú melléklet'!D27+'3b.számú melléklet'!D27+'3d.számú melléklet'!D27+'3e.számú melléklet'!D27+'3f.számú melléklet'!D27+'3g.számú melléklet'!D27+'3h.számú melléklet'!D27)</f>
        <v>0</v>
      </c>
      <c r="E27" s="498">
        <f>SUM('3a.számú melléklet'!E27+'3b.számú melléklet'!E27+'3d.számú melléklet'!E27+'3e.számú melléklet'!E27+'3f.számú melléklet'!E27+'3g.számú melléklet'!E27+'3h.számú melléklet'!E27)</f>
        <v>0</v>
      </c>
      <c r="F27" s="28">
        <f>SUM('3a.számú melléklet'!F27+'3b.számú melléklet'!F27+'3d.számú melléklet'!F27+'3e.számú melléklet'!F27+'3f.számú melléklet'!F27+'3g.számú melléklet'!F27+'3h.számú melléklet'!F27)</f>
        <v>0</v>
      </c>
      <c r="G27" s="648">
        <f t="shared" si="1"/>
        <v>0</v>
      </c>
      <c r="H27" s="648">
        <f t="shared" si="0"/>
        <v>0</v>
      </c>
    </row>
    <row r="28" spans="1:8" s="7" customFormat="1" ht="12" customHeight="1">
      <c r="A28" s="583"/>
      <c r="B28" s="965" t="s">
        <v>407</v>
      </c>
      <c r="C28" s="499">
        <f>SUM('3a.számú melléklet'!C28+'3b.számú melléklet'!C28+'3d.számú melléklet'!C28+'3e.számú melléklet'!C28+'3f.számú melléklet'!C28+'3g.számú melléklet'!C28+'3h.számú melléklet'!C28)</f>
        <v>0</v>
      </c>
      <c r="D28" s="499">
        <f>SUM('3a.számú melléklet'!D28+'3b.számú melléklet'!D28+'3d.számú melléklet'!D28+'3e.számú melléklet'!D28+'3f.számú melléklet'!D28+'3g.számú melléklet'!D28+'3h.számú melléklet'!D28)</f>
        <v>0</v>
      </c>
      <c r="E28" s="499">
        <f>SUM('3a.számú melléklet'!E28+'3b.számú melléklet'!E28+'3d.számú melléklet'!E28+'3e.számú melléklet'!E28+'3f.számú melléklet'!E28+'3g.számú melléklet'!E28+'3h.számú melléklet'!E28)</f>
        <v>69498</v>
      </c>
      <c r="F28" s="504">
        <f>SUM('3a.számú melléklet'!F28+'3b.számú melléklet'!F28+'3d.számú melléklet'!F28+'3e.számú melléklet'!F28+'3f.számú melléklet'!F28+'3g.számú melléklet'!F28+'3h.számú melléklet'!F28)</f>
        <v>0</v>
      </c>
      <c r="G28" s="517">
        <f t="shared" si="1"/>
        <v>0</v>
      </c>
      <c r="H28" s="517">
        <f t="shared" si="0"/>
        <v>0</v>
      </c>
    </row>
    <row r="29" spans="1:8" s="7" customFormat="1" ht="12" customHeight="1">
      <c r="A29" s="581"/>
      <c r="B29" s="968" t="s">
        <v>447</v>
      </c>
      <c r="C29" s="500">
        <f>SUM('3a.számú melléklet'!C29+'3b.számú melléklet'!C29+'3d.számú melléklet'!C29+'3e.számú melléklet'!C29+'3f.számú melléklet'!C29+'3g.számú melléklet'!C29+'3h.számú melléklet'!C29)</f>
        <v>0</v>
      </c>
      <c r="D29" s="500">
        <f>SUM('3a.számú melléklet'!D29+'3b.számú melléklet'!D29+'3d.számú melléklet'!D29+'3e.számú melléklet'!D29+'3f.számú melléklet'!D29+'3g.számú melléklet'!D29+'3h.számú melléklet'!D29)</f>
        <v>0</v>
      </c>
      <c r="E29" s="500">
        <f>SUM('3a.számú melléklet'!E29+'3b.számú melléklet'!E29+'3d.számú melléklet'!E29+'3e.számú melléklet'!E29+'3f.számú melléklet'!E29+'3g.számú melléklet'!E29+'3h.számú melléklet'!E29)</f>
        <v>69498</v>
      </c>
      <c r="F29" s="505">
        <f>SUM('3a.számú melléklet'!F29+'3b.számú melléklet'!F29+'3d.számú melléklet'!F29+'3e.számú melléklet'!F29+'3f.számú melléklet'!F29+'3g.számú melléklet'!F29+'3h.számú melléklet'!F29)</f>
        <v>0</v>
      </c>
      <c r="G29" s="970">
        <f>IF(D29=0,0,F29/D29)</f>
        <v>0</v>
      </c>
      <c r="H29" s="970">
        <f>IF(E29=0,0,F29/E29)</f>
        <v>0</v>
      </c>
    </row>
    <row r="30" spans="1:8" s="7" customFormat="1" ht="24" customHeight="1">
      <c r="A30" s="199"/>
      <c r="B30" s="972" t="s">
        <v>408</v>
      </c>
      <c r="C30" s="498">
        <f>SUM('3a.számú melléklet'!C30+'3b.számú melléklet'!C30+'3d.számú melléklet'!C30+'3e.számú melléklet'!C30+'3f.számú melléklet'!C30+'3g.számú melléklet'!C30+'3h.számú melléklet'!C30)</f>
        <v>0</v>
      </c>
      <c r="D30" s="498">
        <f>SUM('3a.számú melléklet'!D30+'3b.számú melléklet'!D30+'3d.számú melléklet'!D30+'3e.számú melléklet'!D30+'3f.számú melléklet'!D30+'3g.számú melléklet'!D30+'3h.számú melléklet'!D30)</f>
        <v>0</v>
      </c>
      <c r="E30" s="498">
        <f>SUM('3a.számú melléklet'!E30+'3b.számú melléklet'!E30+'3d.számú melléklet'!E30+'3e.számú melléklet'!E30+'3f.számú melléklet'!E30+'3g.számú melléklet'!E30+'3h.számú melléklet'!E30)</f>
        <v>0</v>
      </c>
      <c r="F30" s="28">
        <f>SUM('3a.számú melléklet'!F30+'3b.számú melléklet'!F30+'3d.számú melléklet'!F30+'3e.számú melléklet'!F30+'3f.számú melléklet'!F30+'3g.számú melléklet'!F30+'3h.számú melléklet'!F30)</f>
        <v>0</v>
      </c>
      <c r="G30" s="648">
        <f t="shared" si="1"/>
        <v>0</v>
      </c>
      <c r="H30" s="648">
        <f t="shared" si="0"/>
        <v>0</v>
      </c>
    </row>
    <row r="31" spans="1:8" s="533" customFormat="1" ht="12" customHeight="1">
      <c r="A31" s="531" t="s">
        <v>327</v>
      </c>
      <c r="B31" s="532" t="s">
        <v>318</v>
      </c>
      <c r="C31" s="397">
        <f>SUM('3a.számú melléklet'!C31+'3b.számú melléklet'!C31+'3d.számú melléklet'!C31+'3e.számú melléklet'!C31+'3f.számú melléklet'!C31+'3g.számú melléklet'!C31+'3h.számú melléklet'!C31)</f>
        <v>345645</v>
      </c>
      <c r="D31" s="397">
        <f>SUM('3a.számú melléklet'!D31+'3b.számú melléklet'!D31+'3d.számú melléklet'!D31+'3e.számú melléklet'!D31+'3f.számú melléklet'!D31+'3g.számú melléklet'!D31+'3h.számú melléklet'!D31)</f>
        <v>5000</v>
      </c>
      <c r="E31" s="397">
        <f>SUM('3a.számú melléklet'!E31+'3b.számú melléklet'!E31+'3d.számú melléklet'!E31+'3e.számú melléklet'!E31+'3f.számú melléklet'!E31+'3g.számú melléklet'!E31+'3h.számú melléklet'!E31)</f>
        <v>569604</v>
      </c>
      <c r="F31" s="397">
        <f>SUM('3a.számú melléklet'!F31+'3b.számú melléklet'!F31+'3d.számú melléklet'!F31+'3e.számú melléklet'!F31+'3f.számú melléklet'!F31+'3g.számú melléklet'!F31+'3h.számú melléklet'!F31)</f>
        <v>5000</v>
      </c>
      <c r="G31" s="502">
        <f t="shared" si="1"/>
        <v>1</v>
      </c>
      <c r="H31" s="502">
        <f t="shared" si="0"/>
        <v>0.008778028244183679</v>
      </c>
    </row>
    <row r="32" spans="1:8" s="533" customFormat="1" ht="12" customHeight="1">
      <c r="A32" s="531"/>
      <c r="B32" s="532" t="s">
        <v>677</v>
      </c>
      <c r="C32" s="397">
        <f>SUM('3a.számú melléklet'!C32+'3b.számú melléklet'!C32+'3d.számú melléklet'!C32+'3e.számú melléklet'!C32+'3f.számú melléklet'!C32+'3g.számú melléklet'!C32+'3h.számú melléklet'!C32)</f>
        <v>7509417</v>
      </c>
      <c r="D32" s="397">
        <f>SUM('3a.számú melléklet'!D32+'3b.számú melléklet'!D32+'3d.számú melléklet'!D32+'3e.számú melléklet'!D32+'3f.számú melléklet'!D32+'3g.számú melléklet'!D32+'3h.számú melléklet'!D32)</f>
        <v>7230158</v>
      </c>
      <c r="E32" s="397">
        <f>SUM('3a.számú melléklet'!E32+'3b.számú melléklet'!E32+'3d.számú melléklet'!E32+'3e.számú melléklet'!E32+'3f.számú melléklet'!E32+'3g.számú melléklet'!E32+'3h.számú melléklet'!E32)</f>
        <v>8141288</v>
      </c>
      <c r="F32" s="397">
        <f>SUM('3a.számú melléklet'!F32+'3b.számú melléklet'!F32+'3d.számú melléklet'!F32+'3e.számú melléklet'!F32+'3f.számú melléklet'!F32+'3g.számú melléklet'!F32+'3h.számú melléklet'!F32)</f>
        <v>7140819</v>
      </c>
      <c r="G32" s="502">
        <f t="shared" si="1"/>
        <v>0.9876435618696023</v>
      </c>
      <c r="H32" s="502">
        <f t="shared" si="0"/>
        <v>0.877111705174906</v>
      </c>
    </row>
    <row r="33" spans="1:8" s="533" customFormat="1" ht="12" customHeight="1">
      <c r="A33" s="531"/>
      <c r="B33" s="974" t="s">
        <v>319</v>
      </c>
      <c r="C33" s="498"/>
      <c r="D33" s="498"/>
      <c r="E33" s="498"/>
      <c r="F33" s="28"/>
      <c r="G33" s="648"/>
      <c r="H33" s="648"/>
    </row>
    <row r="34" spans="1:8" s="533" customFormat="1" ht="12" customHeight="1">
      <c r="A34" s="199" t="s">
        <v>524</v>
      </c>
      <c r="B34" s="976" t="s">
        <v>400</v>
      </c>
      <c r="C34" s="498">
        <f>SUM('3a.számú melléklet'!C34+'3b.számú melléklet'!C34+'3d.számú melléklet'!C34+'3e.számú melléklet'!C34+'3f.számú melléklet'!C34+'3g.számú melléklet'!C34+'3h.számú melléklet'!C34)</f>
        <v>0</v>
      </c>
      <c r="D34" s="498">
        <f>SUM('3a.számú melléklet'!D34+'3b.számú melléklet'!D34+'3d.számú melléklet'!D34+'3e.számú melléklet'!D34+'3f.számú melléklet'!D34+'3g.számú melléklet'!D34+'3h.számú melléklet'!D34)</f>
        <v>0</v>
      </c>
      <c r="E34" s="498">
        <f>SUM('3a.számú melléklet'!E34+'3b.számú melléklet'!E34+'3d.számú melléklet'!E34+'3e.számú melléklet'!E34+'3f.számú melléklet'!E34+'3g.számú melléklet'!E34+'3h.számú melléklet'!E34)</f>
        <v>0</v>
      </c>
      <c r="F34" s="28">
        <f>SUM('3a.számú melléklet'!F34+'3b.számú melléklet'!F34+'3d.számú melléklet'!F34+'3e.számú melléklet'!F34+'3f.számú melléklet'!F34+'3g.számú melléklet'!F34+'3h.számú melléklet'!F34)</f>
        <v>0</v>
      </c>
      <c r="G34" s="648">
        <f t="shared" si="1"/>
        <v>0</v>
      </c>
      <c r="H34" s="648">
        <f t="shared" si="0"/>
        <v>0</v>
      </c>
    </row>
    <row r="35" spans="1:8" s="533" customFormat="1" ht="24" customHeight="1">
      <c r="A35" s="583" t="s">
        <v>525</v>
      </c>
      <c r="B35" s="978" t="s">
        <v>791</v>
      </c>
      <c r="C35" s="499">
        <f>SUM('3a.számú melléklet'!C35+'3b.számú melléklet'!C35+'3d.számú melléklet'!C35+'3e.számú melléklet'!C35+'3f.számú melléklet'!C35+'3g.számú melléklet'!C35+'3h.számú melléklet'!C35)</f>
        <v>375238</v>
      </c>
      <c r="D35" s="499">
        <f>SUM('3a.számú melléklet'!D35+'3b.számú melléklet'!D35+'3d.számú melléklet'!D35+'3e.számú melléklet'!D35+'3f.számú melléklet'!D35+'3g.számú melléklet'!D35+'3h.számú melléklet'!D35)</f>
        <v>345786</v>
      </c>
      <c r="E35" s="499">
        <f>SUM('3a.számú melléklet'!E35+'3b.számú melléklet'!E35+'3d.számú melléklet'!E35+'3e.számú melléklet'!E35+'3f.számú melléklet'!E35+'3g.számú melléklet'!E35+'3h.számú melléklet'!E35)</f>
        <v>397454</v>
      </c>
      <c r="F35" s="504">
        <f>SUM('3a.számú melléklet'!F35+'3b.számú melléklet'!F35+'3d.számú melléklet'!F35+'3e.számú melléklet'!F35+'3f.számú melléklet'!F35+'3g.számú melléklet'!F35+'3h.számú melléklet'!F35)</f>
        <v>367608</v>
      </c>
      <c r="G35" s="517">
        <f t="shared" si="1"/>
        <v>1.0631083965227048</v>
      </c>
      <c r="H35" s="517">
        <f t="shared" si="0"/>
        <v>0.9249070332667428</v>
      </c>
    </row>
    <row r="36" spans="1:8" s="533" customFormat="1" ht="12" customHeight="1">
      <c r="A36" s="581"/>
      <c r="B36" s="980" t="s">
        <v>396</v>
      </c>
      <c r="C36" s="500">
        <f>SUM('3a.számú melléklet'!C36+'3b.számú melléklet'!C36+'3d.számú melléklet'!C36+'3e.számú melléklet'!C36+'3f.számú melléklet'!C36+'3g.számú melléklet'!C36+'3h.számú melléklet'!C36)</f>
        <v>3331</v>
      </c>
      <c r="D36" s="500">
        <f>SUM('3a.számú melléklet'!D36+'3b.számú melléklet'!D36+'3d.számú melléklet'!D36+'3e.számú melléklet'!D36+'3f.számú melléklet'!D36+'3g.számú melléklet'!D36+'3h.számú melléklet'!D36)</f>
        <v>3530</v>
      </c>
      <c r="E36" s="500">
        <f>SUM('3a.számú melléklet'!E36+'3b.számú melléklet'!E36+'3d.számú melléklet'!E36+'3e.számú melléklet'!E36+'3f.számú melléklet'!E36+'3g.számú melléklet'!E36+'3h.számú melléklet'!E36)</f>
        <v>4651</v>
      </c>
      <c r="F36" s="505">
        <f>SUM('3a.számú melléklet'!F36+'3b.számú melléklet'!F36+'3d.számú melléklet'!F36+'3e.számú melléklet'!F36+'3f.számú melléklet'!F36+'3g.számú melléklet'!F36+'3h.számú melléklet'!F36)</f>
        <v>4700</v>
      </c>
      <c r="G36" s="970">
        <f t="shared" si="1"/>
        <v>1.3314447592067988</v>
      </c>
      <c r="H36" s="970">
        <f t="shared" si="0"/>
        <v>1.0105353687379057</v>
      </c>
    </row>
    <row r="37" spans="1:8" s="533" customFormat="1" ht="12" customHeight="1">
      <c r="A37" s="199" t="s">
        <v>526</v>
      </c>
      <c r="B37" s="36" t="s">
        <v>726</v>
      </c>
      <c r="C37" s="498">
        <f>SUM('3a.számú melléklet'!C37+'3b.számú melléklet'!C37+'3d.számú melléklet'!C37+'3e.számú melléklet'!C37+'3f.számú melléklet'!C37+'3g.számú melléklet'!C37+'3h.számú melléklet'!C37)</f>
        <v>10258</v>
      </c>
      <c r="D37" s="498">
        <f>SUM('3a.számú melléklet'!D37+'3b.számú melléklet'!D37+'3d.számú melléklet'!D37+'3e.számú melléklet'!D37+'3f.számú melléklet'!D37+'3g.számú melléklet'!D37+'3h.számú melléklet'!D37)</f>
        <v>8920</v>
      </c>
      <c r="E37" s="498">
        <f>SUM('3a.számú melléklet'!E37+'3b.számú melléklet'!E37+'3d.számú melléklet'!E37+'3e.számú melléklet'!E37+'3f.számú melléklet'!E37+'3g.számú melléklet'!E37+'3h.számú melléklet'!E37)</f>
        <v>10422</v>
      </c>
      <c r="F37" s="28">
        <f>SUM('3a.számú melléklet'!F37+'3b.számú melléklet'!F37+'3d.számú melléklet'!F37+'3e.számú melléklet'!F37+'3f.számú melléklet'!F37+'3g.számú melléklet'!F37+'3h.számú melléklet'!F37)</f>
        <v>12533</v>
      </c>
      <c r="G37" s="970">
        <f t="shared" si="1"/>
        <v>1.4050448430493274</v>
      </c>
      <c r="H37" s="970">
        <f t="shared" si="0"/>
        <v>1.2025522932258683</v>
      </c>
    </row>
    <row r="38" spans="1:8" s="533" customFormat="1" ht="12" customHeight="1">
      <c r="A38" s="199" t="s">
        <v>729</v>
      </c>
      <c r="B38" s="449" t="s">
        <v>607</v>
      </c>
      <c r="C38" s="498">
        <f>SUM('3a.számú melléklet'!C38+'3b.számú melléklet'!C38+'3d.számú melléklet'!C38+'3e.számú melléklet'!C38+'3f.számú melléklet'!C38+'3g.számú melléklet'!C38+'3h.számú melléklet'!C38)</f>
        <v>81</v>
      </c>
      <c r="D38" s="498">
        <f>SUM('3a.számú melléklet'!D38+'3b.számú melléklet'!D38+'3d.számú melléklet'!D38+'3e.számú melléklet'!D38+'3f.számú melléklet'!D38+'3g.számú melléklet'!D38+'3h.számú melléklet'!D38)</f>
        <v>83</v>
      </c>
      <c r="E38" s="498">
        <f>SUM('3a.számú melléklet'!E38+'3b.számú melléklet'!E38+'3d.számú melléklet'!E38+'3e.számú melléklet'!E38+'3f.számú melléklet'!E38+'3g.számú melléklet'!E38+'3h.számú melléklet'!E38)</f>
        <v>85</v>
      </c>
      <c r="F38" s="28">
        <f>SUM('3a.számú melléklet'!F38+'3b.számú melléklet'!F38+'3d.számú melléklet'!F38+'3e.számú melléklet'!F38+'3f.számú melléklet'!F38+'3g.számú melléklet'!F38+'3h.számú melléklet'!F38)</f>
        <v>85</v>
      </c>
      <c r="G38" s="648">
        <f t="shared" si="1"/>
        <v>1.0240963855421688</v>
      </c>
      <c r="H38" s="648">
        <f t="shared" si="0"/>
        <v>1</v>
      </c>
    </row>
    <row r="39" spans="1:8" s="533" customFormat="1" ht="12" customHeight="1">
      <c r="A39" s="199" t="s">
        <v>730</v>
      </c>
      <c r="B39" s="449" t="s">
        <v>349</v>
      </c>
      <c r="C39" s="498">
        <f>SUM('3a.számú melléklet'!C39+'3b.számú melléklet'!C39+'3d.számú melléklet'!C39+'3e.számú melléklet'!C39+'3f.számú melléklet'!C39+'3g.számú melléklet'!C39+'3h.számú melléklet'!C39)</f>
        <v>45914</v>
      </c>
      <c r="D39" s="498">
        <f>SUM('3a.számú melléklet'!D39+'3b.számú melléklet'!D39+'3d.számú melléklet'!D39+'3e.számú melléklet'!D39+'3f.számú melléklet'!D39+'3g.számú melléklet'!D39+'3h.számú melléklet'!D39)</f>
        <v>42662</v>
      </c>
      <c r="E39" s="498">
        <f>SUM('3a.számú melléklet'!E39+'3b.számú melléklet'!E39+'3d.számú melléklet'!E39+'3e.számú melléklet'!E39+'3f.számú melléklet'!E39+'3g.számú melléklet'!E39+'3h.számú melléklet'!E39)</f>
        <v>54039</v>
      </c>
      <c r="F39" s="28">
        <f>SUM('3a.számú melléklet'!F39+'3b.számú melléklet'!F39+'3d.számú melléklet'!F39+'3e.számú melléklet'!F39+'3f.számú melléklet'!F39+'3g.számú melléklet'!F39+'3h.számú melléklet'!F39)</f>
        <v>65560</v>
      </c>
      <c r="G39" s="648">
        <f t="shared" si="1"/>
        <v>1.5367305799071773</v>
      </c>
      <c r="H39" s="648">
        <f t="shared" si="0"/>
        <v>1.213197875608357</v>
      </c>
    </row>
    <row r="40" spans="1:8" s="533" customFormat="1" ht="25.5" customHeight="1">
      <c r="A40" s="583" t="s">
        <v>731</v>
      </c>
      <c r="B40" s="982" t="s">
        <v>192</v>
      </c>
      <c r="C40" s="499">
        <f>SUM('3a.számú melléklet'!C40+'3b.számú melléklet'!C40+'3d.számú melléklet'!C40+'3e.számú melléklet'!C40+'3f.számú melléklet'!C40+'3g.számú melléklet'!C40+'3h.számú melléklet'!C40)</f>
        <v>381119</v>
      </c>
      <c r="D40" s="499">
        <f>SUM('3a.számú melléklet'!D40+'3b.számú melléklet'!D40+'3d.számú melléklet'!D40+'3e.számú melléklet'!D40+'3f.számú melléklet'!D40+'3g.számú melléklet'!D40+'3h.számú melléklet'!D40)</f>
        <v>0</v>
      </c>
      <c r="E40" s="499">
        <f>SUM('3a.számú melléklet'!E40+'3b.számú melléklet'!E40+'3d.számú melléklet'!E40+'3e.számú melléklet'!E40+'3f.számú melléklet'!E40+'3g.számú melléklet'!E40+'3h.számú melléklet'!E40)</f>
        <v>352851</v>
      </c>
      <c r="F40" s="504">
        <f>SUM('3a.számú melléklet'!F40+'3b.számú melléklet'!F40+'3d.számú melléklet'!F40+'3e.számú melléklet'!F40+'3f.számú melléklet'!F40+'3g.számú melléklet'!F40+'3h.számú melléklet'!F40)</f>
        <v>0</v>
      </c>
      <c r="G40" s="517">
        <f t="shared" si="1"/>
        <v>0</v>
      </c>
      <c r="H40" s="517">
        <f t="shared" si="0"/>
        <v>0</v>
      </c>
    </row>
    <row r="41" spans="1:8" s="533" customFormat="1" ht="12" customHeight="1">
      <c r="A41" s="581"/>
      <c r="B41" s="968" t="s">
        <v>447</v>
      </c>
      <c r="C41" s="500">
        <f>SUM('3a.számú melléklet'!C41+'3b.számú melléklet'!C41+'3d.számú melléklet'!C41+'3e.számú melléklet'!C41+'3f.számú melléklet'!C41+'3g.számú melléklet'!C41+'3h.számú melléklet'!C41)</f>
        <v>0</v>
      </c>
      <c r="D41" s="500">
        <f>SUM('3a.számú melléklet'!D41+'3b.számú melléklet'!D41+'3d.számú melléklet'!D41+'3e.számú melléklet'!D41+'3f.számú melléklet'!D41+'3g.számú melléklet'!D41+'3h.számú melléklet'!D41)</f>
        <v>0</v>
      </c>
      <c r="E41" s="500">
        <f>SUM('3a.számú melléklet'!E41+'3b.számú melléklet'!E41+'3d.számú melléklet'!E41+'3e.számú melléklet'!E41+'3f.számú melléklet'!E41+'3g.számú melléklet'!E41+'3h.számú melléklet'!E41)</f>
        <v>342951</v>
      </c>
      <c r="F41" s="505">
        <f>SUM('3a.számú melléklet'!F41+'3b.számú melléklet'!F41+'3d.számú melléklet'!F41+'3e.számú melléklet'!F41+'3f.számú melléklet'!F41+'3g.számú melléklet'!F41+'3h.számú melléklet'!F41)</f>
        <v>0</v>
      </c>
      <c r="G41" s="970">
        <f>IF(D41=0,0,F41/D41)</f>
        <v>0</v>
      </c>
      <c r="H41" s="970">
        <f>IF(E41=0,0,F41/E41)</f>
        <v>0</v>
      </c>
    </row>
    <row r="42" spans="1:8" s="533" customFormat="1" ht="24" customHeight="1">
      <c r="A42" s="199" t="s">
        <v>732</v>
      </c>
      <c r="B42" s="984" t="s">
        <v>625</v>
      </c>
      <c r="C42" s="498">
        <f>SUM('3a.számú melléklet'!C42+'3b.számú melléklet'!C42+'3d.számú melléklet'!C42+'3e.számú melléklet'!C42+'3f.számú melléklet'!C42+'3g.számú melléklet'!C42+'3h.számú melléklet'!C42)</f>
        <v>14754</v>
      </c>
      <c r="D42" s="498">
        <f>SUM('3a.számú melléklet'!D42+'3b.számú melléklet'!D42+'3d.számú melléklet'!D42+'3e.számú melléklet'!D42+'3f.számú melléklet'!D42+'3g.számú melléklet'!D42+'3h.számú melléklet'!D42)</f>
        <v>251</v>
      </c>
      <c r="E42" s="498">
        <f>SUM('3a.számú melléklet'!E42+'3b.számú melléklet'!E42+'3d.számú melléklet'!E42+'3e.számú melléklet'!E42+'3f.számú melléklet'!E42+'3g.számú melléklet'!E42+'3h.számú melléklet'!E42)</f>
        <v>12150</v>
      </c>
      <c r="F42" s="28">
        <f>SUM('3a.számú melléklet'!F42+'3b.számú melléklet'!F42+'3d.számú melléklet'!F42+'3e.számú melléklet'!F42+'3f.számú melléklet'!F42+'3g.számú melléklet'!F42+'3h.számú melléklet'!F42)</f>
        <v>258</v>
      </c>
      <c r="G42" s="648">
        <f t="shared" si="1"/>
        <v>1.0278884462151394</v>
      </c>
      <c r="H42" s="648">
        <f t="shared" si="0"/>
        <v>0.02123456790123457</v>
      </c>
    </row>
    <row r="43" spans="1:8" s="533" customFormat="1" ht="12" customHeight="1">
      <c r="A43" s="583" t="s">
        <v>733</v>
      </c>
      <c r="B43" s="982" t="s">
        <v>194</v>
      </c>
      <c r="C43" s="499">
        <f>SUM('3a.számú melléklet'!C43+'3b.számú melléklet'!C43+'3d.számú melléklet'!C43+'3e.számú melléklet'!C43+'3f.számú melléklet'!C43+'3g.számú melléklet'!C43+'3h.számú melléklet'!C43)</f>
        <v>280</v>
      </c>
      <c r="D43" s="499">
        <f>SUM('3a.számú melléklet'!D43+'3b.számú melléklet'!D43+'3d.számú melléklet'!D43+'3e.számú melléklet'!D43+'3f.számú melléklet'!D43+'3g.számú melléklet'!D43+'3h.számú melléklet'!D43)</f>
        <v>0</v>
      </c>
      <c r="E43" s="499">
        <f>SUM('3a.számú melléklet'!E43+'3b.számú melléklet'!E43+'3d.számú melléklet'!E43+'3e.számú melléklet'!E43+'3f.számú melléklet'!E43+'3g.számú melléklet'!E43+'3h.számú melléklet'!E43)</f>
        <v>108412</v>
      </c>
      <c r="F43" s="504">
        <f>SUM('3a.számú melléklet'!F43+'3b.számú melléklet'!F43+'3d.számú melléklet'!F43+'3e.számú melléklet'!F43+'3f.számú melléklet'!F43+'3g.számú melléklet'!F43+'3h.számú melléklet'!F43)</f>
        <v>0</v>
      </c>
      <c r="G43" s="517">
        <f t="shared" si="1"/>
        <v>0</v>
      </c>
      <c r="H43" s="517">
        <f t="shared" si="0"/>
        <v>0</v>
      </c>
    </row>
    <row r="44" spans="1:8" s="533" customFormat="1" ht="12" customHeight="1">
      <c r="A44" s="581"/>
      <c r="B44" s="968" t="s">
        <v>447</v>
      </c>
      <c r="C44" s="500">
        <f>SUM('3a.számú melléklet'!C44+'3b.számú melléklet'!C44+'3d.számú melléklet'!C44+'3e.számú melléklet'!C44+'3f.számú melléklet'!C44+'3g.számú melléklet'!C44+'3h.számú melléklet'!C44)</f>
        <v>0</v>
      </c>
      <c r="D44" s="500">
        <f>SUM('3a.számú melléklet'!D44+'3b.számú melléklet'!D44+'3d.számú melléklet'!D44+'3e.számú melléklet'!D44+'3f.számú melléklet'!D44+'3g.számú melléklet'!D44+'3h.számú melléklet'!D44)</f>
        <v>0</v>
      </c>
      <c r="E44" s="500">
        <f>SUM('3a.számú melléklet'!E44+'3b.számú melléklet'!E44+'3d.számú melléklet'!E44+'3e.számú melléklet'!E44+'3f.számú melléklet'!E44+'3g.számú melléklet'!E44+'3h.számú melléklet'!E44)</f>
        <v>108412</v>
      </c>
      <c r="F44" s="505">
        <f>SUM('3a.számú melléklet'!F44+'3b.számú melléklet'!F44+'3d.számú melléklet'!F44+'3e.számú melléklet'!F44+'3f.számú melléklet'!F44+'3g.számú melléklet'!F44+'3h.számú melléklet'!F44)</f>
        <v>0</v>
      </c>
      <c r="G44" s="970">
        <f>IF(D44=0,0,F44/D44)</f>
        <v>0</v>
      </c>
      <c r="H44" s="970">
        <f>IF(E44=0,0,F44/E44)</f>
        <v>0</v>
      </c>
    </row>
    <row r="45" spans="1:8" s="533" customFormat="1" ht="24" customHeight="1">
      <c r="A45" s="199" t="s">
        <v>734</v>
      </c>
      <c r="B45" s="984" t="s">
        <v>418</v>
      </c>
      <c r="C45" s="498">
        <f>SUM('3a.számú melléklet'!C45+'3b.számú melléklet'!C45+'3d.számú melléklet'!C45+'3e.számú melléklet'!C45+'3f.számú melléklet'!C45+'3g.számú melléklet'!C45+'3h.számú melléklet'!C45)</f>
        <v>17633</v>
      </c>
      <c r="D45" s="498">
        <f>SUM('3a.számú melléklet'!D45+'3b.számú melléklet'!D45+'3d.számú melléklet'!D45+'3e.számú melléklet'!D45+'3f.számú melléklet'!D45+'3g.számú melléklet'!D45+'3h.számú melléklet'!D45)</f>
        <v>0</v>
      </c>
      <c r="E45" s="498">
        <f>SUM('3a.számú melléklet'!E45+'3b.számú melléklet'!E45+'3d.számú melléklet'!E45+'3e.számú melléklet'!E45+'3f.számú melléklet'!E45+'3g.számú melléklet'!E45+'3h.számú melléklet'!E45)</f>
        <v>8548</v>
      </c>
      <c r="F45" s="28">
        <f>SUM('3a.számú melléklet'!F45+'3b.számú melléklet'!F45+'3d.számú melléklet'!F45+'3e.számú melléklet'!F45+'3f.számú melléklet'!F45+'3g.számú melléklet'!F45+'3h.számú melléklet'!F45)</f>
        <v>0</v>
      </c>
      <c r="G45" s="648">
        <f t="shared" si="1"/>
        <v>0</v>
      </c>
      <c r="H45" s="648">
        <f t="shared" si="0"/>
        <v>0</v>
      </c>
    </row>
    <row r="46" spans="1:8" s="533" customFormat="1" ht="12" customHeight="1">
      <c r="A46" s="199" t="s">
        <v>735</v>
      </c>
      <c r="B46" s="449" t="s">
        <v>311</v>
      </c>
      <c r="C46" s="498">
        <f>SUM('3a.számú melléklet'!C46+'3b.számú melléklet'!C46+'3d.számú melléklet'!C46+'3e.számú melléklet'!C46+'3f.számú melléklet'!C46+'3g.számú melléklet'!C46+'3h.számú melléklet'!C46)</f>
        <v>40</v>
      </c>
      <c r="D46" s="498">
        <f>SUM('3a.számú melléklet'!D46+'3b.számú melléklet'!D46+'3d.számú melléklet'!D46+'3e.számú melléklet'!D46+'3f.számú melléklet'!D46+'3g.számú melléklet'!D46+'3h.számú melléklet'!D46)</f>
        <v>0</v>
      </c>
      <c r="E46" s="498">
        <f>SUM('3a.számú melléklet'!E46+'3b.számú melléklet'!E46+'3d.számú melléklet'!E46+'3e.számú melléklet'!E46+'3f.számú melléklet'!E46+'3g.számú melléklet'!E46+'3h.számú melléklet'!E46)</f>
        <v>863</v>
      </c>
      <c r="F46" s="28">
        <f>SUM('3a.számú melléklet'!F46+'3b.számú melléklet'!F46+'3d.számú melléklet'!F46+'3e.számú melléklet'!F46+'3f.számú melléklet'!F46+'3g.számú melléklet'!F46+'3h.számú melléklet'!F46)</f>
        <v>0</v>
      </c>
      <c r="G46" s="648">
        <f t="shared" si="1"/>
        <v>0</v>
      </c>
      <c r="H46" s="648">
        <f t="shared" si="0"/>
        <v>0</v>
      </c>
    </row>
    <row r="47" spans="1:8" s="533" customFormat="1" ht="12" customHeight="1">
      <c r="A47" s="199" t="s">
        <v>736</v>
      </c>
      <c r="B47" s="449" t="s">
        <v>312</v>
      </c>
      <c r="C47" s="498">
        <f>SUM('3a.számú melléklet'!C47+'3b.számú melléklet'!C47+'3d.számú melléklet'!C47+'3e.számú melléklet'!C47+'3f.számú melléklet'!C47+'3g.számú melléklet'!C47+'3h.számú melléklet'!C47)</f>
        <v>418944</v>
      </c>
      <c r="D47" s="498">
        <f>SUM('3a.számú melléklet'!D47+'3b.számú melléklet'!D47+'3d.számú melléklet'!D47+'3e.számú melléklet'!D47+'3f.számú melléklet'!D47+'3g.számú melléklet'!D47+'3h.számú melléklet'!D47)</f>
        <v>0</v>
      </c>
      <c r="E47" s="498">
        <f>SUM('3a.számú melléklet'!E47+'3b.számú melléklet'!E47+'3d.számú melléklet'!E47+'3e.számú melléklet'!E47+'3f.számú melléklet'!E47+'3g.számú melléklet'!E47+'3h.számú melléklet'!E47)</f>
        <v>555138</v>
      </c>
      <c r="F47" s="28">
        <f>SUM('3a.számú melléklet'!F47+'3b.számú melléklet'!F47+'3d.számú melléklet'!F47+'3e.számú melléklet'!F47+'3f.számú melléklet'!F47+'3g.számú melléklet'!F47+'3h.számú melléklet'!F47)</f>
        <v>0</v>
      </c>
      <c r="G47" s="648">
        <f t="shared" si="1"/>
        <v>0</v>
      </c>
      <c r="H47" s="648">
        <f t="shared" si="0"/>
        <v>0</v>
      </c>
    </row>
    <row r="48" spans="1:8" s="533" customFormat="1" ht="12" customHeight="1">
      <c r="A48" s="531"/>
      <c r="B48" s="532" t="s">
        <v>768</v>
      </c>
      <c r="C48" s="397">
        <f>SUM('3a.számú melléklet'!C48+'3b.számú melléklet'!C48+'3d.számú melléklet'!C48+'3e.számú melléklet'!C48+'3f.számú melléklet'!C48+'3g.számú melléklet'!C48+'3h.számú melléklet'!C48)</f>
        <v>1264261</v>
      </c>
      <c r="D48" s="397">
        <f>SUM('3a.számú melléklet'!D48+'3b.számú melléklet'!D48+'3d.számú melléklet'!D48+'3e.számú melléklet'!D48+'3f.számú melléklet'!D48+'3g.számú melléklet'!D48+'3h.számú melléklet'!D48)</f>
        <v>397702</v>
      </c>
      <c r="E48" s="397">
        <f>SUM('3a.számú melléklet'!E48+'3b.számú melléklet'!E48+'3d.számú melléklet'!E48+'3e.számú melléklet'!E48+'3f.számú melléklet'!E48+'3g.számú melléklet'!E48+'3h.számú melléklet'!E48)</f>
        <v>1499962</v>
      </c>
      <c r="F48" s="397">
        <f>SUM('3a.számú melléklet'!F48+'3b.számú melléklet'!F48+'3d.számú melléklet'!F48+'3e.számú melléklet'!F48+'3f.számú melléklet'!F48+'3g.számú melléklet'!F48+'3h.számú melléklet'!F48)</f>
        <v>446044</v>
      </c>
      <c r="G48" s="502">
        <f t="shared" si="1"/>
        <v>1.1215533238454924</v>
      </c>
      <c r="H48" s="502">
        <f t="shared" si="0"/>
        <v>0.2973702000450678</v>
      </c>
    </row>
    <row r="49" spans="1:8" s="536" customFormat="1" ht="13.5">
      <c r="A49" s="537" t="s">
        <v>737</v>
      </c>
      <c r="B49" s="532" t="s">
        <v>351</v>
      </c>
      <c r="C49" s="397">
        <f>SUM('3a.számú melléklet'!C49+'3b.számú melléklet'!C49+'3d.számú melléklet'!C49+'3e.számú melléklet'!C49+'3f.számú melléklet'!C49+'3g.számú melléklet'!C49+'3h.számú melléklet'!C49)</f>
        <v>6723301</v>
      </c>
      <c r="D49" s="397">
        <f>SUM('3a.számú melléklet'!D49+'3b.számú melléklet'!D49+'3d.számú melléklet'!D49+'3e.számú melléklet'!D49+'3f.számú melléklet'!D49+'3g.számú melléklet'!D49+'3h.számú melléklet'!D49)</f>
        <v>6832456</v>
      </c>
      <c r="E49" s="397">
        <f>SUM('3a.számú melléklet'!E49+'3b.számú melléklet'!E49+'3d.számú melléklet'!E49+'3e.számú melléklet'!E49+'3f.számú melléklet'!E49+'3g.számú melléklet'!E49+'3h.számú melléklet'!E49)</f>
        <v>7176669</v>
      </c>
      <c r="F49" s="397">
        <f>SUM('3a.számú melléklet'!F49+'3b.számú melléklet'!F49+'3d.számú melléklet'!F49+'3e.számú melléklet'!F49+'3f.számú melléklet'!F49+'3g.számú melléklet'!F49+'3h.számú melléklet'!F49)</f>
        <v>6694775</v>
      </c>
      <c r="G49" s="502">
        <f t="shared" si="1"/>
        <v>0.9798489737804386</v>
      </c>
      <c r="H49" s="502">
        <f t="shared" si="0"/>
        <v>0.9328526925235092</v>
      </c>
    </row>
    <row r="50" spans="1:8" ht="12.75">
      <c r="A50" s="346"/>
      <c r="B50" s="987" t="s">
        <v>197</v>
      </c>
      <c r="C50" s="498">
        <f>SUM('3a.számú melléklet'!C50+'3b.számú melléklet'!C50+'3d.számú melléklet'!C50+'3e.számú melléklet'!C50+'3f.számú melléklet'!C50+'3g.számú melléklet'!C50+'3h.számú melléklet'!C50)</f>
        <v>0</v>
      </c>
      <c r="D50" s="498">
        <f>SUM('3a.számú melléklet'!D50+'3b.számú melléklet'!D50+'3d.számú melléklet'!D50+'3e.számú melléklet'!D50+'3f.számú melléklet'!D50+'3g.számú melléklet'!D50+'3h.számú melléklet'!D50)</f>
        <v>2703793</v>
      </c>
      <c r="E50" s="498">
        <f>SUM('3a.számú melléklet'!E50+'3b.számú melléklet'!E50+'3d.számú melléklet'!E50+'3e.számú melléklet'!E50+'3f.számú melléklet'!E50+'3g.számú melléklet'!E50+'3h.számú melléklet'!E50)</f>
        <v>2694764</v>
      </c>
      <c r="F50" s="28">
        <f>SUM('3a.számú melléklet'!F50+'3b.számú melléklet'!F50+'3d.számú melléklet'!F50+'3e.számú melléklet'!F50+'3f.számú melléklet'!F50+'3g.számú melléklet'!F50+'3h.számú melléklet'!F50)</f>
        <v>2560060</v>
      </c>
      <c r="G50" s="648">
        <f t="shared" si="1"/>
        <v>0.9468402351807258</v>
      </c>
      <c r="H50" s="648">
        <f t="shared" si="0"/>
        <v>0.9500126912783458</v>
      </c>
    </row>
    <row r="51" spans="1:8" ht="12.75">
      <c r="A51" s="346"/>
      <c r="B51" s="995" t="s">
        <v>398</v>
      </c>
      <c r="C51" s="498">
        <f>SUM('3a.számú melléklet'!C51+'3b.számú melléklet'!C51+'3d.számú melléklet'!C51+'3e.számú melléklet'!C51+'3f.számú melléklet'!C51+'3g.számú melléklet'!C51+'3h.számú melléklet'!C51)</f>
        <v>0</v>
      </c>
      <c r="D51" s="498">
        <f>SUM('3a.számú melléklet'!D51+'3b.számú melléklet'!D51+'3d.számú melléklet'!D51+'3e.számú melléklet'!D51+'3f.számú melléklet'!D51+'3g.számú melléklet'!D51+'3h.számú melléklet'!D51)</f>
        <v>54060</v>
      </c>
      <c r="E51" s="498">
        <f>SUM('3a.számú melléklet'!E51+'3b.számú melléklet'!E51+'3d.számú melléklet'!E51+'3e.számú melléklet'!E51+'3f.számú melléklet'!E51+'3g.számú melléklet'!E51+'3h.számú melléklet'!E51)</f>
        <v>63001</v>
      </c>
      <c r="F51" s="28">
        <f>SUM('3a.számú melléklet'!F51+'3b.számú melléklet'!F51+'3d.számú melléklet'!F51+'3e.számú melléklet'!F51+'3f.számú melléklet'!F51+'3g.számú melléklet'!F51+'3h.számú melléklet'!F51)</f>
        <v>53380</v>
      </c>
      <c r="G51" s="648">
        <f>IF(D51=0,0,F51/D51)</f>
        <v>0.9874213836477987</v>
      </c>
      <c r="H51" s="648">
        <f>IF(E51=0,0,F51/E51)</f>
        <v>0.8472881382835193</v>
      </c>
    </row>
    <row r="52" spans="1:8" s="536" customFormat="1" ht="13.5">
      <c r="A52" s="566"/>
      <c r="B52" s="567" t="s">
        <v>749</v>
      </c>
      <c r="C52" s="397">
        <f>SUM('3a.számú melléklet'!C52+'3b.számú melléklet'!C52+'3d.számú melléklet'!C52+'3e.számú melléklet'!C52+'3f.számú melléklet'!C52+'3g.számú melléklet'!C52+'3h.számú melléklet'!C52)</f>
        <v>7987562</v>
      </c>
      <c r="D52" s="397">
        <f>SUM('3a.számú melléklet'!D52+'3b.számú melléklet'!D52+'3d.számú melléklet'!D52+'3e.számú melléklet'!D52+'3f.számú melléklet'!D52+'3g.számú melléklet'!D52+'3h.számú melléklet'!D52)</f>
        <v>7230158</v>
      </c>
      <c r="E52" s="397">
        <f>SUM('3a.számú melléklet'!E52+'3b.számú melléklet'!E52+'3d.számú melléklet'!E52+'3e.számú melléklet'!E52+'3f.számú melléklet'!E52+'3g.számú melléklet'!E52+'3h.számú melléklet'!E52)</f>
        <v>8676631</v>
      </c>
      <c r="F52" s="397">
        <f>SUM('3a.számú melléklet'!F52+'3b.számú melléklet'!F52+'3d.számú melléklet'!F52+'3e.számú melléklet'!F52+'3f.számú melléklet'!F52+'3g.számú melléklet'!F52+'3h.számú melléklet'!F52)</f>
        <v>7140819</v>
      </c>
      <c r="G52" s="502">
        <f>IF(D52=0,0,F52/D52)</f>
        <v>0.9876435618696023</v>
      </c>
      <c r="H52" s="502">
        <f>IF(E52=0,0,F52/E52)</f>
        <v>0.8229944318249791</v>
      </c>
    </row>
    <row r="53" spans="6:9" ht="15.75">
      <c r="F53" s="508"/>
      <c r="G53" s="509"/>
      <c r="H53" s="509"/>
      <c r="I53" s="8"/>
    </row>
  </sheetData>
  <sheetProtection password="CC08"/>
  <mergeCells count="4">
    <mergeCell ref="A1:H1"/>
    <mergeCell ref="A2:H2"/>
    <mergeCell ref="A3:H3"/>
    <mergeCell ref="A4:G4"/>
  </mergeCell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  <headerFooter alignWithMargins="0">
    <oddHeader>&amp;R&amp;"Times New Roman CE,Normál"3.számú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Csordas_l</cp:lastModifiedBy>
  <cp:lastPrinted>2007-02-27T14:54:32Z</cp:lastPrinted>
  <dcterms:created xsi:type="dcterms:W3CDTF">2000-12-19T13:47:05Z</dcterms:created>
  <dcterms:modified xsi:type="dcterms:W3CDTF">2007-03-09T08:24:47Z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-1394558830</vt:i4>
  </property>
  <property fmtid="{D5CDD505-2E9C-101B-9397-08002B2CF9AE}" pid="4" name="_EmailSubje">
    <vt:lpwstr>rendeletek csepelről</vt:lpwstr>
  </property>
  <property fmtid="{D5CDD505-2E9C-101B-9397-08002B2CF9AE}" pid="5" name="_AuthorEma">
    <vt:lpwstr>csepelph@elender.hu</vt:lpwstr>
  </property>
  <property fmtid="{D5CDD505-2E9C-101B-9397-08002B2CF9AE}" pid="6" name="_AuthorEmailDisplayNa">
    <vt:lpwstr>Farkas György</vt:lpwstr>
  </property>
</Properties>
</file>